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년대비작업\05 통합본\컴활1급\실습파일확인\엑셀\"/>
    </mc:Choice>
  </mc:AlternateContent>
  <xr:revisionPtr revIDLastSave="0" documentId="13_ncr:1_{8068C049-C2B3-4358-8CFF-3FA56DA39E2E}" xr6:coauthVersionLast="47" xr6:coauthVersionMax="47" xr10:uidLastSave="{00000000-0000-0000-0000-000000000000}"/>
  <bookViews>
    <workbookView xWindow="19200" yWindow="0" windowWidth="19200" windowHeight="21000" tabRatio="815" xr2:uid="{07E89FB2-BCB3-4945-9ACB-BE723B98D14A}"/>
  </bookViews>
  <sheets>
    <sheet name="출제유형_01_유형1~2" sheetId="1" r:id="rId1"/>
    <sheet name="01_유형3~4" sheetId="2" r:id="rId2"/>
    <sheet name="01_유형5~6" sheetId="3" r:id="rId3"/>
    <sheet name="02_유형1~3" sheetId="7" r:id="rId4"/>
    <sheet name="03_유형1~2" sheetId="8" r:id="rId5"/>
    <sheet name="04_유형1" sheetId="11" r:id="rId6"/>
    <sheet name="대표기출문제_기출1~2" sheetId="13" r:id="rId7"/>
    <sheet name="기출3~4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H5" i="14"/>
  <c r="H6" i="14"/>
  <c r="H7" i="14"/>
  <c r="H8" i="14"/>
  <c r="H9" i="14"/>
  <c r="H3" i="14"/>
  <c r="F4" i="14"/>
  <c r="F5" i="14"/>
  <c r="F6" i="14"/>
  <c r="F7" i="14"/>
  <c r="F8" i="14"/>
  <c r="F9" i="14"/>
  <c r="F3" i="14"/>
  <c r="H4" i="3"/>
  <c r="H5" i="3"/>
  <c r="H6" i="3"/>
  <c r="H7" i="3"/>
  <c r="H8" i="3"/>
  <c r="H3" i="3"/>
  <c r="E4" i="1" l="1"/>
  <c r="E5" i="1"/>
  <c r="E6" i="1"/>
  <c r="E7" i="1"/>
  <c r="E8" i="1"/>
  <c r="E9" i="1"/>
  <c r="E10" i="1"/>
  <c r="E3" i="1"/>
  <c r="D4" i="1"/>
  <c r="D5" i="1"/>
  <c r="D6" i="1"/>
  <c r="D7" i="1"/>
  <c r="D8" i="1"/>
  <c r="D9" i="1"/>
  <c r="D10" i="1"/>
  <c r="G9" i="1"/>
  <c r="D3" i="1"/>
  <c r="G9" i="14"/>
  <c r="G8" i="14"/>
  <c r="G7" i="14"/>
  <c r="G6" i="14"/>
  <c r="G5" i="14"/>
  <c r="G4" i="14"/>
  <c r="G3" i="14"/>
  <c r="I11" i="13"/>
  <c r="H11" i="13"/>
  <c r="G11" i="13"/>
  <c r="F11" i="13"/>
  <c r="I10" i="13"/>
  <c r="H10" i="13"/>
  <c r="G10" i="13"/>
  <c r="F10" i="13"/>
  <c r="I9" i="13"/>
  <c r="H9" i="13"/>
  <c r="G9" i="13"/>
  <c r="F9" i="13"/>
  <c r="I8" i="13"/>
  <c r="H8" i="13"/>
  <c r="G8" i="13"/>
  <c r="F8" i="13"/>
  <c r="I7" i="13"/>
  <c r="H7" i="13"/>
  <c r="G7" i="13"/>
  <c r="F7" i="13"/>
  <c r="I6" i="13"/>
  <c r="H6" i="13"/>
  <c r="G6" i="13"/>
  <c r="F6" i="13"/>
  <c r="I5" i="13"/>
  <c r="H5" i="13"/>
  <c r="G5" i="13"/>
  <c r="F5" i="13"/>
  <c r="I4" i="13"/>
  <c r="H4" i="13"/>
  <c r="G4" i="13"/>
  <c r="F4" i="13"/>
  <c r="I3" i="13"/>
  <c r="H3" i="13"/>
  <c r="G3" i="13"/>
  <c r="F3" i="13"/>
  <c r="D10" i="11"/>
  <c r="C10" i="11"/>
  <c r="D9" i="11"/>
  <c r="C9" i="11"/>
  <c r="D8" i="11"/>
  <c r="C8" i="11"/>
  <c r="D7" i="11"/>
  <c r="C7" i="11"/>
  <c r="D6" i="11"/>
  <c r="C6" i="11"/>
  <c r="D5" i="11"/>
  <c r="C5" i="11"/>
  <c r="D4" i="11"/>
  <c r="C4" i="11"/>
  <c r="D3" i="11"/>
  <c r="C3" i="11"/>
  <c r="C13" i="8"/>
  <c r="B13" i="8"/>
  <c r="C12" i="8"/>
  <c r="B12" i="8"/>
  <c r="C11" i="8"/>
  <c r="B11" i="8"/>
  <c r="D8" i="8"/>
  <c r="D7" i="8"/>
  <c r="D6" i="8"/>
  <c r="D5" i="8"/>
  <c r="D4" i="8"/>
  <c r="D3" i="8"/>
  <c r="G10" i="7"/>
  <c r="F10" i="7"/>
  <c r="E10" i="7"/>
  <c r="G9" i="7"/>
  <c r="F9" i="7"/>
  <c r="E9" i="7"/>
  <c r="G8" i="7"/>
  <c r="F8" i="7"/>
  <c r="E8" i="7"/>
  <c r="G7" i="7"/>
  <c r="F7" i="7"/>
  <c r="E7" i="7"/>
  <c r="G6" i="7"/>
  <c r="F6" i="7"/>
  <c r="E6" i="7"/>
  <c r="G5" i="7"/>
  <c r="F5" i="7"/>
  <c r="E5" i="7"/>
  <c r="G4" i="7"/>
  <c r="F4" i="7"/>
  <c r="E4" i="7"/>
  <c r="G3" i="7"/>
  <c r="F3" i="7"/>
  <c r="E3" i="7"/>
  <c r="G8" i="3"/>
  <c r="F8" i="3"/>
  <c r="E8" i="3"/>
  <c r="D8" i="3"/>
  <c r="G7" i="3"/>
  <c r="F7" i="3"/>
  <c r="E7" i="3"/>
  <c r="D7" i="3"/>
  <c r="G6" i="3"/>
  <c r="F6" i="3"/>
  <c r="E6" i="3"/>
  <c r="D6" i="3"/>
  <c r="G5" i="3"/>
  <c r="F5" i="3"/>
  <c r="E5" i="3"/>
  <c r="D5" i="3"/>
  <c r="G4" i="3"/>
  <c r="F4" i="3"/>
  <c r="E4" i="3"/>
  <c r="D4" i="3"/>
  <c r="G3" i="3"/>
  <c r="F3" i="3"/>
  <c r="E3" i="3"/>
  <c r="D3" i="3"/>
  <c r="H10" i="2"/>
  <c r="G10" i="2"/>
  <c r="F10" i="2"/>
  <c r="E10" i="2"/>
  <c r="H9" i="2"/>
  <c r="G9" i="2"/>
  <c r="F9" i="2"/>
  <c r="E9" i="2"/>
  <c r="H8" i="2"/>
  <c r="G8" i="2"/>
  <c r="F8" i="2"/>
  <c r="E8" i="2"/>
  <c r="H7" i="2"/>
  <c r="G7" i="2"/>
  <c r="F7" i="2"/>
  <c r="E7" i="2"/>
  <c r="H6" i="2"/>
  <c r="G6" i="2"/>
  <c r="F6" i="2"/>
  <c r="E6" i="2"/>
  <c r="H5" i="2"/>
  <c r="G5" i="2"/>
  <c r="F5" i="2"/>
  <c r="E5" i="2"/>
  <c r="H4" i="2"/>
  <c r="G4" i="2"/>
  <c r="F4" i="2"/>
  <c r="E4" i="2"/>
  <c r="H3" i="2"/>
  <c r="G3" i="2"/>
  <c r="F3" i="2"/>
  <c r="E3" i="2"/>
  <c r="C10" i="1"/>
  <c r="C9" i="1"/>
  <c r="C8" i="1"/>
  <c r="C7" i="1"/>
  <c r="C6" i="1"/>
  <c r="F5" i="1"/>
  <c r="C5" i="1"/>
  <c r="F4" i="1"/>
  <c r="C4" i="1"/>
  <c r="F3" i="1"/>
  <c r="C3" i="1"/>
  <c r="F6" i="1" l="1"/>
  <c r="F7" i="1"/>
  <c r="F8" i="1"/>
  <c r="F9" i="1"/>
  <c r="F10" i="1"/>
  <c r="G3" i="1"/>
  <c r="G10" i="1"/>
  <c r="G4" i="1"/>
  <c r="G6" i="1"/>
  <c r="G7" i="1"/>
  <c r="G8" i="1"/>
  <c r="G5" i="1"/>
</calcChain>
</file>

<file path=xl/sharedStrings.xml><?xml version="1.0" encoding="utf-8"?>
<sst xmlns="http://schemas.openxmlformats.org/spreadsheetml/2006/main" count="297" uniqueCount="200">
  <si>
    <t>[표1]</t>
    <phoneticPr fontId="3" type="noConversion"/>
  </si>
  <si>
    <t>직원코드</t>
    <phoneticPr fontId="2" type="noConversion"/>
  </si>
  <si>
    <t>판매수량</t>
    <phoneticPr fontId="3" type="noConversion"/>
  </si>
  <si>
    <t>지역</t>
    <phoneticPr fontId="3" type="noConversion"/>
  </si>
  <si>
    <t>AA177</t>
    <phoneticPr fontId="2" type="noConversion"/>
  </si>
  <si>
    <t>AB398</t>
    <phoneticPr fontId="2" type="noConversion"/>
  </si>
  <si>
    <t>AA441</t>
    <phoneticPr fontId="2" type="noConversion"/>
  </si>
  <si>
    <t>[표2]</t>
    <phoneticPr fontId="3" type="noConversion"/>
  </si>
  <si>
    <t>코드</t>
    <phoneticPr fontId="2" type="noConversion"/>
  </si>
  <si>
    <t>판매수량</t>
    <phoneticPr fontId="2" type="noConversion"/>
  </si>
  <si>
    <t>AA</t>
  </si>
  <si>
    <t>서울</t>
    <phoneticPr fontId="3" type="noConversion"/>
  </si>
  <si>
    <t>AB</t>
  </si>
  <si>
    <t>경기도</t>
    <phoneticPr fontId="3" type="noConversion"/>
  </si>
  <si>
    <t>AC</t>
  </si>
  <si>
    <t>강원도</t>
    <phoneticPr fontId="3" type="noConversion"/>
  </si>
  <si>
    <t>AE</t>
  </si>
  <si>
    <t>[표1]</t>
  </si>
  <si>
    <t>직원코드</t>
  </si>
  <si>
    <t>판매수량</t>
  </si>
  <si>
    <t>지역</t>
  </si>
  <si>
    <t>지역담당자</t>
  </si>
  <si>
    <t>접수번호</t>
  </si>
  <si>
    <t>할인여부</t>
  </si>
  <si>
    <t>판매금액</t>
  </si>
  <si>
    <t>AA177</t>
  </si>
  <si>
    <t>AE386</t>
  </si>
  <si>
    <t>AA463</t>
  </si>
  <si>
    <t>AE165</t>
  </si>
  <si>
    <t>AB398</t>
  </si>
  <si>
    <t>AA441</t>
  </si>
  <si>
    <t>AC619</t>
  </si>
  <si>
    <t>AC543</t>
  </si>
  <si>
    <t>[표2]</t>
  </si>
  <si>
    <t>[표3]</t>
  </si>
  <si>
    <t>코드</t>
  </si>
  <si>
    <t>담당자</t>
  </si>
  <si>
    <t>판매단가</t>
  </si>
  <si>
    <t>서울</t>
  </si>
  <si>
    <t>김영식</t>
  </si>
  <si>
    <t>경기도</t>
  </si>
  <si>
    <t>하석민</t>
  </si>
  <si>
    <t>강원도</t>
  </si>
  <si>
    <t>구지훈</t>
  </si>
  <si>
    <t>경상도</t>
  </si>
  <si>
    <t>임숙경</t>
  </si>
  <si>
    <t xml:space="preserve">작성일 : </t>
  </si>
  <si>
    <t>대출금액</t>
  </si>
  <si>
    <t>대출일</t>
  </si>
  <si>
    <t>대출기간(년)</t>
  </si>
  <si>
    <t>지점번호</t>
  </si>
  <si>
    <t>비고1</t>
  </si>
  <si>
    <t>비고2</t>
  </si>
  <si>
    <t>AK441</t>
  </si>
  <si>
    <t>AE463</t>
  </si>
  <si>
    <t>AK543</t>
  </si>
  <si>
    <t>AE177</t>
  </si>
  <si>
    <t>[표4]</t>
  </si>
  <si>
    <t>월상환액</t>
  </si>
  <si>
    <t>남은월</t>
  </si>
  <si>
    <t>123-58-5920</t>
  </si>
  <si>
    <t>여유</t>
  </si>
  <si>
    <t>1년미만</t>
  </si>
  <si>
    <t>123-91-5837</t>
  </si>
  <si>
    <t>보통</t>
  </si>
  <si>
    <t>1년이상</t>
  </si>
  <si>
    <t>123-58-9510</t>
  </si>
  <si>
    <t>부담</t>
  </si>
  <si>
    <t>2년이상</t>
  </si>
  <si>
    <t>123-58-7895</t>
  </si>
  <si>
    <t>매우부담</t>
  </si>
  <si>
    <t>3년이상</t>
  </si>
  <si>
    <t>판매일</t>
    <phoneticPr fontId="2" type="noConversion"/>
  </si>
  <si>
    <t>배송비</t>
    <phoneticPr fontId="3" type="noConversion"/>
  </si>
  <si>
    <t>판매금액1</t>
    <phoneticPr fontId="3" type="noConversion"/>
  </si>
  <si>
    <t>판매금액2</t>
    <phoneticPr fontId="2" type="noConversion"/>
  </si>
  <si>
    <t>지역/직위</t>
    <phoneticPr fontId="2" type="noConversion"/>
  </si>
  <si>
    <t>결제날짜</t>
    <phoneticPr fontId="2" type="noConversion"/>
  </si>
  <si>
    <t>AC167</t>
    <phoneticPr fontId="2" type="noConversion"/>
  </si>
  <si>
    <t>AC542</t>
    <phoneticPr fontId="2" type="noConversion"/>
  </si>
  <si>
    <t>AB386</t>
    <phoneticPr fontId="2" type="noConversion"/>
  </si>
  <si>
    <t>판매월</t>
    <phoneticPr fontId="2" type="noConversion"/>
  </si>
  <si>
    <t>[표3]</t>
    <phoneticPr fontId="3" type="noConversion"/>
  </si>
  <si>
    <t>무료</t>
    <phoneticPr fontId="2" type="noConversion"/>
  </si>
  <si>
    <t>[표4] 판매일에 따른 월코드와 결제일</t>
    <phoneticPr fontId="2" type="noConversion"/>
  </si>
  <si>
    <t>날짜(일)</t>
    <phoneticPr fontId="2" type="noConversion"/>
  </si>
  <si>
    <t>월코드</t>
    <phoneticPr fontId="2" type="noConversion"/>
  </si>
  <si>
    <t>월</t>
    <phoneticPr fontId="2" type="noConversion"/>
  </si>
  <si>
    <t>결제일</t>
    <phoneticPr fontId="2" type="noConversion"/>
  </si>
  <si>
    <t>이번달</t>
    <phoneticPr fontId="2" type="noConversion"/>
  </si>
  <si>
    <t>다음달</t>
    <phoneticPr fontId="2" type="noConversion"/>
  </si>
  <si>
    <t>다다음달</t>
    <phoneticPr fontId="2" type="noConversion"/>
  </si>
  <si>
    <t>할인율</t>
    <phoneticPr fontId="2" type="noConversion"/>
  </si>
  <si>
    <t>할인율</t>
  </si>
  <si>
    <t>윤선중</t>
  </si>
  <si>
    <t>이민준</t>
  </si>
  <si>
    <t>오수진</t>
  </si>
  <si>
    <t>이름</t>
  </si>
  <si>
    <t>결제방법</t>
  </si>
  <si>
    <t>지역/직위</t>
  </si>
  <si>
    <t>순이익률</t>
  </si>
  <si>
    <t>AA171</t>
  </si>
  <si>
    <t>권창영</t>
  </si>
  <si>
    <t>신용카드</t>
  </si>
  <si>
    <t>김영민</t>
  </si>
  <si>
    <t>체크카드</t>
  </si>
  <si>
    <t>명노찬</t>
  </si>
  <si>
    <t>현금</t>
  </si>
  <si>
    <t>강진구</t>
  </si>
  <si>
    <t>배종숙</t>
  </si>
  <si>
    <t xml:space="preserve"> [표2]</t>
  </si>
  <si>
    <t>경기</t>
  </si>
  <si>
    <t>강원</t>
  </si>
  <si>
    <t>경상</t>
  </si>
  <si>
    <t>사원</t>
  </si>
  <si>
    <t>주임</t>
  </si>
  <si>
    <t>과장</t>
  </si>
  <si>
    <t xml:space="preserve"> [표3] 순이익률표</t>
  </si>
  <si>
    <t xml:space="preserve"> [표4] 할인율</t>
  </si>
  <si>
    <t>기타</t>
  </si>
  <si>
    <t>판매일</t>
  </si>
  <si>
    <t>배송비</t>
  </si>
  <si>
    <t>AC167</t>
  </si>
  <si>
    <t>AC542</t>
  </si>
  <si>
    <t>AB386</t>
  </si>
  <si>
    <t>판매연도</t>
  </si>
  <si>
    <t>무료</t>
  </si>
  <si>
    <t>[표1]</t>
    <phoneticPr fontId="2" type="noConversion"/>
  </si>
  <si>
    <t>주문코드</t>
  </si>
  <si>
    <t>주문일자</t>
  </si>
  <si>
    <t>요일</t>
  </si>
  <si>
    <t>상품명</t>
  </si>
  <si>
    <t>1KA225</t>
  </si>
  <si>
    <t>화장지</t>
  </si>
  <si>
    <t>3YA542</t>
  </si>
  <si>
    <t>각티슈</t>
  </si>
  <si>
    <t>2KB859</t>
  </si>
  <si>
    <t>물티슈</t>
  </si>
  <si>
    <t>3HA548</t>
  </si>
  <si>
    <t>키친타올</t>
  </si>
  <si>
    <t>4DC587</t>
  </si>
  <si>
    <t>2KA541</t>
  </si>
  <si>
    <t>1AA921</t>
  </si>
  <si>
    <t>4HC758</t>
  </si>
  <si>
    <t>대여코드</t>
    <phoneticPr fontId="2" type="noConversion"/>
  </si>
  <si>
    <t>TO-07</t>
  </si>
  <si>
    <t>101하4176</t>
  </si>
  <si>
    <t>소형</t>
  </si>
  <si>
    <t>EI-25</t>
  </si>
  <si>
    <t>102하4030</t>
  </si>
  <si>
    <t>VO-02</t>
  </si>
  <si>
    <t>143허4331</t>
  </si>
  <si>
    <t>미니밴</t>
  </si>
  <si>
    <t>EI-03</t>
  </si>
  <si>
    <t>수입차</t>
  </si>
  <si>
    <t>VO-04</t>
  </si>
  <si>
    <t>158호4606</t>
  </si>
  <si>
    <t>VO-05</t>
  </si>
  <si>
    <t>EI-06</t>
  </si>
  <si>
    <t>131하4442</t>
  </si>
  <si>
    <t>EI-26</t>
  </si>
  <si>
    <t>EI-27</t>
  </si>
  <si>
    <t>세단</t>
  </si>
  <si>
    <t>대여코드</t>
  </si>
  <si>
    <t>대여일자</t>
  </si>
  <si>
    <t>차량번호</t>
  </si>
  <si>
    <t>차량종류</t>
  </si>
  <si>
    <t>대여시간</t>
  </si>
  <si>
    <t>대여금액</t>
  </si>
  <si>
    <t>대여요일</t>
  </si>
  <si>
    <t>대여방식/지역</t>
  </si>
  <si>
    <t>104호4978</t>
  </si>
  <si>
    <t>105하4367</t>
  </si>
  <si>
    <t>124허4409</t>
  </si>
  <si>
    <t>116하4321</t>
  </si>
  <si>
    <t>[표3] 할인율</t>
  </si>
  <si>
    <t>시간당요금</t>
  </si>
  <si>
    <t>차량구분</t>
  </si>
  <si>
    <t>대여방식</t>
  </si>
  <si>
    <t>EI</t>
  </si>
  <si>
    <t>인터넷</t>
  </si>
  <si>
    <t>VO</t>
  </si>
  <si>
    <t>방문</t>
  </si>
  <si>
    <t>TO</t>
  </si>
  <si>
    <t>전화</t>
  </si>
  <si>
    <t>렌탈신청일</t>
    <phoneticPr fontId="2" type="noConversion"/>
  </si>
  <si>
    <t>종류</t>
    <phoneticPr fontId="2" type="noConversion"/>
  </si>
  <si>
    <t>가격</t>
    <phoneticPr fontId="2" type="noConversion"/>
  </si>
  <si>
    <t>렌탈기간</t>
    <phoneticPr fontId="2" type="noConversion"/>
  </si>
  <si>
    <t>번호-할인율</t>
    <phoneticPr fontId="2" type="noConversion"/>
  </si>
  <si>
    <t>종류-할인율</t>
    <phoneticPr fontId="2" type="noConversion"/>
  </si>
  <si>
    <t>A001</t>
    <phoneticPr fontId="2" type="noConversion"/>
  </si>
  <si>
    <t>정수기</t>
    <phoneticPr fontId="2" type="noConversion"/>
  </si>
  <si>
    <t>C006</t>
    <phoneticPr fontId="2" type="noConversion"/>
  </si>
  <si>
    <t>A003</t>
    <phoneticPr fontId="2" type="noConversion"/>
  </si>
  <si>
    <t>공기청정기</t>
    <phoneticPr fontId="2" type="noConversion"/>
  </si>
  <si>
    <t>B005</t>
    <phoneticPr fontId="2" type="noConversion"/>
  </si>
  <si>
    <t>안마기</t>
    <phoneticPr fontId="2" type="noConversion"/>
  </si>
  <si>
    <t>C002</t>
    <phoneticPr fontId="2" type="noConversion"/>
  </si>
  <si>
    <t>[표2] 렌탈기간별 할인율표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</si>
</sst>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#,##0_ "/>
    <numFmt numFmtId="178" formatCode="mm&quot;월&quot;\ dd&quot;일&quot;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.8"/>
      <color theme="1"/>
      <name val="맑은 고딕"/>
      <family val="2"/>
      <charset val="129"/>
      <scheme val="minor"/>
    </font>
    <font>
      <sz val="10.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1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1" applyNumberFormat="1" applyFont="1" applyFill="1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center" vertical="center"/>
    </xf>
    <xf numFmtId="42" fontId="0" fillId="0" borderId="2" xfId="2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0" fontId="0" fillId="0" borderId="16" xfId="0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2" xfId="3" applyNumberFormat="1" applyFont="1" applyBorder="1" applyAlignment="1">
      <alignment horizontal="center" vertical="center"/>
    </xf>
    <xf numFmtId="177" fontId="0" fillId="0" borderId="9" xfId="1" applyNumberFormat="1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9" xfId="1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3" xfId="3" applyNumberFormat="1" applyFon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10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9" fontId="0" fillId="0" borderId="2" xfId="3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21" xfId="0" applyBorder="1" applyAlignment="1">
      <alignment horizontal="center" vertical="center"/>
    </xf>
    <xf numFmtId="176" fontId="0" fillId="0" borderId="10" xfId="3" applyNumberFormat="1" applyFont="1" applyBorder="1" applyAlignment="1">
      <alignment horizontal="center" vertical="center"/>
    </xf>
    <xf numFmtId="176" fontId="0" fillId="0" borderId="15" xfId="3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6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/>
    </xf>
    <xf numFmtId="0" fontId="0" fillId="0" borderId="2" xfId="0" applyBorder="1">
      <alignment vertical="center"/>
    </xf>
    <xf numFmtId="9" fontId="0" fillId="0" borderId="2" xfId="3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9" fontId="0" fillId="0" borderId="2" xfId="0" applyNumberFormat="1" applyBorder="1" applyAlignment="1">
      <alignment horizontal="center" vertical="center"/>
    </xf>
    <xf numFmtId="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9" fontId="0" fillId="0" borderId="0" xfId="3" applyFont="1">
      <alignment vertical="center"/>
    </xf>
    <xf numFmtId="9" fontId="0" fillId="3" borderId="2" xfId="3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41" fontId="6" fillId="0" borderId="2" xfId="1" applyFont="1" applyBorder="1">
      <alignment vertical="center"/>
    </xf>
    <xf numFmtId="0" fontId="6" fillId="0" borderId="2" xfId="1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2" xfId="1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B9259B43-FAF6-49F7-AD49-93ACE3617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91D5-2716-4A94-B952-718B0D59FCCA}">
  <dimension ref="A1:G16"/>
  <sheetViews>
    <sheetView tabSelected="1" workbookViewId="0"/>
  </sheetViews>
  <sheetFormatPr defaultRowHeight="17"/>
  <cols>
    <col min="1" max="2" width="9" bestFit="1" customWidth="1"/>
    <col min="3" max="3" width="8.5" customWidth="1"/>
    <col min="4" max="4" width="13.83203125" bestFit="1" customWidth="1"/>
    <col min="5" max="5" width="9" bestFit="1" customWidth="1"/>
    <col min="6" max="6" width="10.5" bestFit="1" customWidth="1"/>
    <col min="7" max="7" width="14" bestFit="1" customWidth="1"/>
  </cols>
  <sheetData>
    <row r="1" spans="1:7">
      <c r="A1" s="1" t="s">
        <v>17</v>
      </c>
    </row>
    <row r="2" spans="1:7">
      <c r="A2" s="2" t="s">
        <v>18</v>
      </c>
      <c r="B2" s="2" t="s">
        <v>19</v>
      </c>
      <c r="C2" s="3" t="s">
        <v>20</v>
      </c>
      <c r="D2" s="102" t="s">
        <v>21</v>
      </c>
      <c r="E2" s="102" t="s">
        <v>22</v>
      </c>
      <c r="F2" s="3" t="s">
        <v>23</v>
      </c>
      <c r="G2" s="102" t="s">
        <v>24</v>
      </c>
    </row>
    <row r="3" spans="1:7">
      <c r="A3" s="2" t="s">
        <v>25</v>
      </c>
      <c r="B3" s="2">
        <v>150</v>
      </c>
      <c r="C3" s="2" t="str">
        <f>VLOOKUP(LEFT(A3,2),$A$13:$C$16,2,FALSE)</f>
        <v>서울</v>
      </c>
      <c r="D3" s="2" t="str">
        <f>_xlfn.CONCAT(VLOOKUP(LEFT(A3,2),$A$13:$C$16,2,FALSE),"/",VLOOKUP(LEFT(A3,2),$A$13:$C$16,3,FALSE))</f>
        <v>서울/김영식</v>
      </c>
      <c r="E3" s="2" t="str">
        <f>_xlfn.CONCAT(ROW()-2,"-",VLOOKUP(LEFT(A3,2),$A$13:$C$16,2,FALSE))</f>
        <v>1-서울</v>
      </c>
      <c r="F3" s="4" t="str">
        <f>IF(B3*VLOOKUP(B3,$D$13:$E$16,2)&gt;=7000000,"추가할인","")</f>
        <v/>
      </c>
      <c r="G3" s="4" t="str">
        <f t="shared" ref="G3:G10" si="0">TEXT(B3*VLOOKUP(ROUNDUP(B3,-2),$D$13:$E$16,2),"#,##0원")</f>
        <v>4,350,000원</v>
      </c>
    </row>
    <row r="4" spans="1:7">
      <c r="A4" s="2" t="s">
        <v>26</v>
      </c>
      <c r="B4" s="2">
        <v>274</v>
      </c>
      <c r="C4" s="2" t="str">
        <f t="shared" ref="C4:C10" si="1">VLOOKUP(LEFT(A4,2),$A$13:$C$16,2,FALSE)</f>
        <v>경상도</v>
      </c>
      <c r="D4" s="2" t="str">
        <f t="shared" ref="D4:D10" si="2">_xlfn.CONCAT(VLOOKUP(LEFT(A4,2),$A$13:$C$16,2,FALSE),"/",VLOOKUP(LEFT(A4,2),$A$13:$C$16,3,FALSE))</f>
        <v>경상도/임숙경</v>
      </c>
      <c r="E4" s="2" t="str">
        <f t="shared" ref="E4:E10" si="3">_xlfn.CONCAT(ROW()-2,"-",VLOOKUP(LEFT(A4,2),$A$13:$C$16,2,FALSE))</f>
        <v>2-경상도</v>
      </c>
      <c r="F4" s="4" t="str">
        <f t="shared" ref="F4:F10" si="4">IF(B4*VLOOKUP(B4,$D$13:$E$16,2)&gt;=7000000,"추가할인","")</f>
        <v>추가할인</v>
      </c>
      <c r="G4" s="4" t="str">
        <f t="shared" si="0"/>
        <v>7,672,000원</v>
      </c>
    </row>
    <row r="5" spans="1:7">
      <c r="A5" s="2" t="s">
        <v>27</v>
      </c>
      <c r="B5" s="2">
        <v>207</v>
      </c>
      <c r="C5" s="2" t="str">
        <f t="shared" si="1"/>
        <v>서울</v>
      </c>
      <c r="D5" s="2" t="str">
        <f t="shared" si="2"/>
        <v>서울/김영식</v>
      </c>
      <c r="E5" s="2" t="str">
        <f t="shared" si="3"/>
        <v>3-서울</v>
      </c>
      <c r="F5" s="4" t="str">
        <f t="shared" si="4"/>
        <v/>
      </c>
      <c r="G5" s="4" t="str">
        <f t="shared" si="0"/>
        <v>5,796,000원</v>
      </c>
    </row>
    <row r="6" spans="1:7">
      <c r="A6" s="2" t="s">
        <v>28</v>
      </c>
      <c r="B6" s="2">
        <v>103</v>
      </c>
      <c r="C6" s="2" t="str">
        <f t="shared" si="1"/>
        <v>경상도</v>
      </c>
      <c r="D6" s="2" t="str">
        <f t="shared" si="2"/>
        <v>경상도/임숙경</v>
      </c>
      <c r="E6" s="2" t="str">
        <f t="shared" si="3"/>
        <v>4-경상도</v>
      </c>
      <c r="F6" s="4" t="str">
        <f t="shared" si="4"/>
        <v/>
      </c>
      <c r="G6" s="4" t="str">
        <f t="shared" si="0"/>
        <v>2,987,000원</v>
      </c>
    </row>
    <row r="7" spans="1:7">
      <c r="A7" s="2" t="s">
        <v>29</v>
      </c>
      <c r="B7" s="2">
        <v>211</v>
      </c>
      <c r="C7" s="2" t="str">
        <f t="shared" si="1"/>
        <v>경기도</v>
      </c>
      <c r="D7" s="2" t="str">
        <f t="shared" si="2"/>
        <v>경기도/하석민</v>
      </c>
      <c r="E7" s="2" t="str">
        <f t="shared" si="3"/>
        <v>5-경기도</v>
      </c>
      <c r="F7" s="4" t="str">
        <f t="shared" si="4"/>
        <v/>
      </c>
      <c r="G7" s="4" t="str">
        <f t="shared" si="0"/>
        <v>5,908,000원</v>
      </c>
    </row>
    <row r="8" spans="1:7">
      <c r="A8" s="2" t="s">
        <v>30</v>
      </c>
      <c r="B8" s="2">
        <v>349</v>
      </c>
      <c r="C8" s="2" t="str">
        <f t="shared" si="1"/>
        <v>서울</v>
      </c>
      <c r="D8" s="2" t="str">
        <f t="shared" si="2"/>
        <v>서울/김영식</v>
      </c>
      <c r="E8" s="2" t="str">
        <f t="shared" si="3"/>
        <v>6-서울</v>
      </c>
      <c r="F8" s="4" t="str">
        <f t="shared" si="4"/>
        <v>추가할인</v>
      </c>
      <c r="G8" s="4" t="str">
        <f t="shared" si="0"/>
        <v>9,074,000원</v>
      </c>
    </row>
    <row r="9" spans="1:7">
      <c r="A9" s="2" t="s">
        <v>31</v>
      </c>
      <c r="B9" s="2">
        <v>201</v>
      </c>
      <c r="C9" s="2" t="str">
        <f t="shared" si="1"/>
        <v>강원도</v>
      </c>
      <c r="D9" s="2" t="str">
        <f t="shared" si="2"/>
        <v>강원도/구지훈</v>
      </c>
      <c r="E9" s="2" t="str">
        <f t="shared" si="3"/>
        <v>7-강원도</v>
      </c>
      <c r="F9" s="4" t="str">
        <f t="shared" si="4"/>
        <v/>
      </c>
      <c r="G9" s="4" t="str">
        <f t="shared" si="0"/>
        <v>5,628,000원</v>
      </c>
    </row>
    <row r="10" spans="1:7">
      <c r="A10" s="2" t="s">
        <v>32</v>
      </c>
      <c r="B10" s="2">
        <v>450</v>
      </c>
      <c r="C10" s="2" t="str">
        <f t="shared" si="1"/>
        <v>강원도</v>
      </c>
      <c r="D10" s="2" t="str">
        <f t="shared" si="2"/>
        <v>강원도/구지훈</v>
      </c>
      <c r="E10" s="2" t="str">
        <f t="shared" si="3"/>
        <v>8-강원도</v>
      </c>
      <c r="F10" s="4" t="str">
        <f t="shared" si="4"/>
        <v>추가할인</v>
      </c>
      <c r="G10" s="4" t="str">
        <f t="shared" si="0"/>
        <v>11,700,000원</v>
      </c>
    </row>
    <row r="11" spans="1:7" ht="17.5" thickBot="1">
      <c r="A11" s="5" t="s">
        <v>33</v>
      </c>
      <c r="B11" s="5"/>
      <c r="C11" s="5"/>
      <c r="D11" s="5" t="s">
        <v>34</v>
      </c>
      <c r="E11" s="5"/>
      <c r="F11" s="5"/>
      <c r="G11" s="5"/>
    </row>
    <row r="12" spans="1:7">
      <c r="A12" s="6" t="s">
        <v>35</v>
      </c>
      <c r="B12" s="7" t="s">
        <v>20</v>
      </c>
      <c r="C12" s="8" t="s">
        <v>36</v>
      </c>
      <c r="D12" s="6" t="s">
        <v>19</v>
      </c>
      <c r="E12" s="9" t="s">
        <v>37</v>
      </c>
    </row>
    <row r="13" spans="1:7">
      <c r="A13" s="10" t="s">
        <v>10</v>
      </c>
      <c r="B13" s="11" t="s">
        <v>38</v>
      </c>
      <c r="C13" s="12" t="s">
        <v>39</v>
      </c>
      <c r="D13" s="13">
        <v>100</v>
      </c>
      <c r="E13" s="14">
        <v>30000</v>
      </c>
    </row>
    <row r="14" spans="1:7">
      <c r="A14" s="15" t="s">
        <v>12</v>
      </c>
      <c r="B14" s="2" t="s">
        <v>40</v>
      </c>
      <c r="C14" s="16" t="s">
        <v>41</v>
      </c>
      <c r="D14" s="13">
        <v>200</v>
      </c>
      <c r="E14" s="14">
        <v>29000</v>
      </c>
    </row>
    <row r="15" spans="1:7">
      <c r="A15" s="15" t="s">
        <v>14</v>
      </c>
      <c r="B15" s="2" t="s">
        <v>42</v>
      </c>
      <c r="C15" s="16" t="s">
        <v>43</v>
      </c>
      <c r="D15" s="17">
        <v>300</v>
      </c>
      <c r="E15" s="14">
        <v>28000</v>
      </c>
    </row>
    <row r="16" spans="1:7" ht="17.5" thickBot="1">
      <c r="A16" s="18" t="s">
        <v>16</v>
      </c>
      <c r="B16" s="19" t="s">
        <v>44</v>
      </c>
      <c r="C16" s="20" t="s">
        <v>45</v>
      </c>
      <c r="D16" s="21">
        <v>400</v>
      </c>
      <c r="E16" s="22">
        <v>26000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A9BB-8E98-4148-B1DF-2ACCC5C3A24C}">
  <dimension ref="A1:H16"/>
  <sheetViews>
    <sheetView workbookViewId="0"/>
  </sheetViews>
  <sheetFormatPr defaultRowHeight="17"/>
  <cols>
    <col min="1" max="1" width="9" bestFit="1" customWidth="1"/>
    <col min="2" max="2" width="11.83203125" bestFit="1" customWidth="1"/>
    <col min="3" max="3" width="12.25" bestFit="1" customWidth="1"/>
    <col min="4" max="4" width="12.33203125" bestFit="1" customWidth="1"/>
    <col min="5" max="5" width="10.5" bestFit="1" customWidth="1"/>
    <col min="6" max="6" width="15.83203125" bestFit="1" customWidth="1"/>
    <col min="7" max="7" width="10.5" bestFit="1" customWidth="1"/>
    <col min="8" max="8" width="11.08203125" bestFit="1" customWidth="1"/>
  </cols>
  <sheetData>
    <row r="1" spans="1:8">
      <c r="A1" s="1" t="s">
        <v>17</v>
      </c>
      <c r="G1" s="23" t="s">
        <v>46</v>
      </c>
      <c r="H1" s="24">
        <v>44317</v>
      </c>
    </row>
    <row r="2" spans="1:8">
      <c r="A2" s="2" t="s">
        <v>18</v>
      </c>
      <c r="B2" s="2" t="s">
        <v>47</v>
      </c>
      <c r="C2" s="2" t="s">
        <v>48</v>
      </c>
      <c r="D2" s="2" t="s">
        <v>49</v>
      </c>
      <c r="E2" s="3" t="s">
        <v>20</v>
      </c>
      <c r="F2" s="102" t="s">
        <v>50</v>
      </c>
      <c r="G2" s="3" t="s">
        <v>51</v>
      </c>
      <c r="H2" s="102" t="s">
        <v>52</v>
      </c>
    </row>
    <row r="3" spans="1:8">
      <c r="A3" s="2" t="s">
        <v>28</v>
      </c>
      <c r="B3" s="4">
        <v>43000000</v>
      </c>
      <c r="C3" s="25">
        <v>42746</v>
      </c>
      <c r="D3" s="2">
        <v>5</v>
      </c>
      <c r="E3" s="4" t="str">
        <f>IFERROR(VLOOKUP(LEFT(A3,2),$A$13:$C$16,2,FALSE),"없음")</f>
        <v>경상도</v>
      </c>
      <c r="F3" s="26" t="str">
        <f t="shared" ref="F3:F10" si="0">IFERROR(REPLACE(VLOOKUP(LEFT(A3,2),$A$13:$C$16,3,FALSE),5,2,"○○"),"")</f>
        <v>123-○○-7895</v>
      </c>
      <c r="G3" s="4" t="str">
        <f t="shared" ref="G3:G10" si="1">VLOOKUP(PMT(3%/12,D3*12,-B3),$D$13:$E$16,2)</f>
        <v>매우부담</v>
      </c>
      <c r="H3" s="27" t="str">
        <f>VLOOKUP(QUOTIENT(EDATE(C3,D3*12)-$H$1,30),$F$13:$G$16,2)</f>
        <v>1년미만</v>
      </c>
    </row>
    <row r="4" spans="1:8">
      <c r="A4" s="2" t="s">
        <v>29</v>
      </c>
      <c r="B4" s="4">
        <v>25600000</v>
      </c>
      <c r="C4" s="25">
        <v>43975</v>
      </c>
      <c r="D4" s="2">
        <v>3</v>
      </c>
      <c r="E4" s="4" t="str">
        <f t="shared" ref="E4:E10" si="2">IFERROR(VLOOKUP(LEFT(A4,2),$A$13:$B$16,2,FALSE),"없음")</f>
        <v>경기도</v>
      </c>
      <c r="F4" s="26" t="str">
        <f t="shared" si="0"/>
        <v>123-○○-5837</v>
      </c>
      <c r="G4" s="4" t="str">
        <f t="shared" si="1"/>
        <v>매우부담</v>
      </c>
      <c r="H4" s="27" t="str">
        <f t="shared" ref="H4:H10" si="3">VLOOKUP(QUOTIENT(EDATE(C4,D4*12)-$H$1,30),$F$13:$G$16,2)</f>
        <v>2년이상</v>
      </c>
    </row>
    <row r="5" spans="1:8">
      <c r="A5" s="2" t="s">
        <v>53</v>
      </c>
      <c r="B5" s="4">
        <v>13700000</v>
      </c>
      <c r="C5" s="25">
        <v>43507</v>
      </c>
      <c r="D5" s="2">
        <v>7</v>
      </c>
      <c r="E5" s="4" t="str">
        <f t="shared" si="2"/>
        <v>없음</v>
      </c>
      <c r="F5" s="26" t="str">
        <f t="shared" si="0"/>
        <v/>
      </c>
      <c r="G5" s="4" t="str">
        <f t="shared" si="1"/>
        <v>여유</v>
      </c>
      <c r="H5" s="27" t="str">
        <f t="shared" si="3"/>
        <v>3년이상</v>
      </c>
    </row>
    <row r="6" spans="1:8">
      <c r="A6" s="2" t="s">
        <v>31</v>
      </c>
      <c r="B6" s="4">
        <v>37100000</v>
      </c>
      <c r="C6" s="25">
        <v>41736</v>
      </c>
      <c r="D6" s="2">
        <v>10</v>
      </c>
      <c r="E6" s="4" t="str">
        <f t="shared" si="2"/>
        <v>강원도</v>
      </c>
      <c r="F6" s="26" t="str">
        <f t="shared" si="0"/>
        <v>123-○○-9510</v>
      </c>
      <c r="G6" s="4" t="str">
        <f t="shared" si="1"/>
        <v>보통</v>
      </c>
      <c r="H6" s="27" t="str">
        <f t="shared" si="3"/>
        <v>2년이상</v>
      </c>
    </row>
    <row r="7" spans="1:8">
      <c r="A7" s="2" t="s">
        <v>54</v>
      </c>
      <c r="B7" s="4">
        <v>24000000</v>
      </c>
      <c r="C7" s="25">
        <v>42513</v>
      </c>
      <c r="D7" s="2">
        <v>10</v>
      </c>
      <c r="E7" s="4" t="str">
        <f t="shared" si="2"/>
        <v>경상도</v>
      </c>
      <c r="F7" s="26" t="str">
        <f t="shared" si="0"/>
        <v>123-○○-7895</v>
      </c>
      <c r="G7" s="4" t="str">
        <f t="shared" si="1"/>
        <v>보통</v>
      </c>
      <c r="H7" s="27" t="str">
        <f t="shared" si="3"/>
        <v>3년이상</v>
      </c>
    </row>
    <row r="8" spans="1:8">
      <c r="A8" s="2" t="s">
        <v>55</v>
      </c>
      <c r="B8" s="4">
        <v>49200000</v>
      </c>
      <c r="C8" s="25">
        <v>41006</v>
      </c>
      <c r="D8" s="2">
        <v>10</v>
      </c>
      <c r="E8" s="4" t="str">
        <f t="shared" si="2"/>
        <v>없음</v>
      </c>
      <c r="F8" s="26" t="str">
        <f t="shared" si="0"/>
        <v/>
      </c>
      <c r="G8" s="4" t="str">
        <f t="shared" si="1"/>
        <v>부담</v>
      </c>
      <c r="H8" s="27" t="str">
        <f t="shared" si="3"/>
        <v>1년미만</v>
      </c>
    </row>
    <row r="9" spans="1:8">
      <c r="A9" s="2" t="s">
        <v>56</v>
      </c>
      <c r="B9" s="4">
        <v>48500000</v>
      </c>
      <c r="C9" s="25">
        <v>43171</v>
      </c>
      <c r="D9" s="2">
        <v>5</v>
      </c>
      <c r="E9" s="4" t="str">
        <f t="shared" si="2"/>
        <v>경상도</v>
      </c>
      <c r="F9" s="26" t="str">
        <f t="shared" si="0"/>
        <v>123-○○-7895</v>
      </c>
      <c r="G9" s="4" t="str">
        <f t="shared" si="1"/>
        <v>매우부담</v>
      </c>
      <c r="H9" s="27" t="str">
        <f t="shared" si="3"/>
        <v>1년이상</v>
      </c>
    </row>
    <row r="10" spans="1:8">
      <c r="A10" s="2" t="s">
        <v>26</v>
      </c>
      <c r="B10" s="4">
        <v>6700000</v>
      </c>
      <c r="C10" s="25">
        <v>43519</v>
      </c>
      <c r="D10" s="2">
        <v>3</v>
      </c>
      <c r="E10" s="4" t="str">
        <f t="shared" si="2"/>
        <v>경상도</v>
      </c>
      <c r="F10" s="26" t="str">
        <f t="shared" si="0"/>
        <v>123-○○-7895</v>
      </c>
      <c r="G10" s="4" t="str">
        <f t="shared" si="1"/>
        <v>여유</v>
      </c>
      <c r="H10" s="27" t="str">
        <f t="shared" si="3"/>
        <v>1년미만</v>
      </c>
    </row>
    <row r="11" spans="1:8" ht="17.5" thickBot="1">
      <c r="A11" s="5" t="s">
        <v>33</v>
      </c>
      <c r="B11" s="28"/>
      <c r="C11" s="29"/>
      <c r="D11" s="5" t="s">
        <v>34</v>
      </c>
      <c r="E11" s="5"/>
      <c r="F11" s="5" t="s">
        <v>57</v>
      </c>
      <c r="G11" s="5"/>
      <c r="H11" s="5"/>
    </row>
    <row r="12" spans="1:8">
      <c r="A12" s="6" t="s">
        <v>35</v>
      </c>
      <c r="B12" s="30" t="s">
        <v>20</v>
      </c>
      <c r="C12" s="7" t="s">
        <v>50</v>
      </c>
      <c r="D12" s="6" t="s">
        <v>58</v>
      </c>
      <c r="E12" s="9" t="s">
        <v>51</v>
      </c>
      <c r="F12" s="6" t="s">
        <v>59</v>
      </c>
      <c r="G12" s="9" t="s">
        <v>52</v>
      </c>
    </row>
    <row r="13" spans="1:8">
      <c r="A13" s="10" t="s">
        <v>10</v>
      </c>
      <c r="B13" s="31" t="s">
        <v>38</v>
      </c>
      <c r="C13" s="32" t="s">
        <v>60</v>
      </c>
      <c r="D13" s="33">
        <v>0</v>
      </c>
      <c r="E13" s="34" t="s">
        <v>61</v>
      </c>
      <c r="F13" s="13">
        <v>0</v>
      </c>
      <c r="G13" s="35" t="s">
        <v>62</v>
      </c>
    </row>
    <row r="14" spans="1:8">
      <c r="A14" s="15" t="s">
        <v>12</v>
      </c>
      <c r="B14" s="36" t="s">
        <v>40</v>
      </c>
      <c r="C14" s="32" t="s">
        <v>63</v>
      </c>
      <c r="D14" s="33">
        <v>200000</v>
      </c>
      <c r="E14" s="34" t="s">
        <v>64</v>
      </c>
      <c r="F14" s="13">
        <v>12</v>
      </c>
      <c r="G14" s="35" t="s">
        <v>65</v>
      </c>
    </row>
    <row r="15" spans="1:8">
      <c r="A15" s="15" t="s">
        <v>14</v>
      </c>
      <c r="B15" s="36" t="s">
        <v>42</v>
      </c>
      <c r="C15" s="32" t="s">
        <v>66</v>
      </c>
      <c r="D15" s="37">
        <v>400000</v>
      </c>
      <c r="E15" s="34" t="s">
        <v>67</v>
      </c>
      <c r="F15" s="17">
        <v>24</v>
      </c>
      <c r="G15" s="35" t="s">
        <v>68</v>
      </c>
    </row>
    <row r="16" spans="1:8" ht="17.5" thickBot="1">
      <c r="A16" s="18" t="s">
        <v>16</v>
      </c>
      <c r="B16" s="38" t="s">
        <v>44</v>
      </c>
      <c r="C16" s="39" t="s">
        <v>69</v>
      </c>
      <c r="D16" s="40">
        <v>600000</v>
      </c>
      <c r="E16" s="41" t="s">
        <v>70</v>
      </c>
      <c r="F16" s="21">
        <v>36</v>
      </c>
      <c r="G16" s="42" t="s">
        <v>71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681A-2035-4524-8C36-C859BF161565}">
  <dimension ref="A1:H19"/>
  <sheetViews>
    <sheetView workbookViewId="0"/>
  </sheetViews>
  <sheetFormatPr defaultRowHeight="17"/>
  <cols>
    <col min="1" max="1" width="8.58203125" customWidth="1"/>
    <col min="2" max="2" width="9" bestFit="1" customWidth="1"/>
    <col min="3" max="3" width="11.08203125" bestFit="1" customWidth="1"/>
    <col min="4" max="4" width="7.33203125" bestFit="1" customWidth="1"/>
    <col min="5" max="5" width="11.83203125" bestFit="1" customWidth="1"/>
    <col min="6" max="6" width="10.83203125" bestFit="1" customWidth="1"/>
    <col min="7" max="7" width="12.33203125" bestFit="1" customWidth="1"/>
    <col min="8" max="8" width="9" bestFit="1" customWidth="1"/>
  </cols>
  <sheetData>
    <row r="1" spans="1:8">
      <c r="A1" s="1" t="s">
        <v>0</v>
      </c>
    </row>
    <row r="2" spans="1:8">
      <c r="A2" s="2" t="s">
        <v>1</v>
      </c>
      <c r="B2" s="2" t="s">
        <v>2</v>
      </c>
      <c r="C2" s="2" t="s">
        <v>72</v>
      </c>
      <c r="D2" s="3" t="s">
        <v>73</v>
      </c>
      <c r="E2" s="102" t="s">
        <v>74</v>
      </c>
      <c r="F2" s="102" t="s">
        <v>75</v>
      </c>
      <c r="G2" s="3" t="s">
        <v>76</v>
      </c>
      <c r="H2" s="102" t="s">
        <v>77</v>
      </c>
    </row>
    <row r="3" spans="1:8">
      <c r="A3" s="2" t="s">
        <v>78</v>
      </c>
      <c r="B3" s="2">
        <v>207</v>
      </c>
      <c r="C3" s="25">
        <v>44219</v>
      </c>
      <c r="D3" s="4" t="str">
        <f t="shared" ref="D3:D8" si="0">VLOOKUP(B3,$A$11:$C$13,MATCH(MONTH(C3),$B$10:$C$10,1)+1)</f>
        <v>무료</v>
      </c>
      <c r="E3" s="4">
        <f t="shared" ref="E3:E8" si="1">B3*VLOOKUP(LEFT(A3,2),$D$11:$H$13,MATCH(B3,$F$10:$H$10,1)+2,FALSE)</f>
        <v>5382000</v>
      </c>
      <c r="F3" s="4">
        <f t="shared" ref="F3:F8" si="2">B3*VLOOKUP(LEFT(A3,2),$D$11:$H$13,MATCH(B3,$F$10:$H$10,1)+2,FALSE)*(1-IF(B3&gt;=200,10%,0))</f>
        <v>4843800</v>
      </c>
      <c r="G3" s="32" t="str">
        <f>VLOOKUP(LEFT(A3,2),$D$11:$H$13,2,FALSE)&amp;"("&amp;CHOOSE(MOD(RIGHT(A3,3),4)+1,"사원","대리","과장","부장")&amp;")"</f>
        <v>강원도(부장)</v>
      </c>
      <c r="H3" s="2" t="str">
        <f>_xlfn.CONCAT(MONTH(C3)+VLOOKUP(DAY(C3),$A$16:$D$19,2),"월 ",VLOOKUP(DAY(C3),$A$16:$D$19,4),"일")</f>
        <v>3월 1일</v>
      </c>
    </row>
    <row r="4" spans="1:8">
      <c r="A4" s="2" t="s">
        <v>5</v>
      </c>
      <c r="B4" s="2">
        <v>24</v>
      </c>
      <c r="C4" s="25">
        <v>44388</v>
      </c>
      <c r="D4" s="4">
        <f t="shared" si="0"/>
        <v>8000</v>
      </c>
      <c r="E4" s="4">
        <f t="shared" si="1"/>
        <v>696000</v>
      </c>
      <c r="F4" s="4">
        <f t="shared" si="2"/>
        <v>696000</v>
      </c>
      <c r="G4" s="32" t="str">
        <f t="shared" ref="G4:G8" si="3">VLOOKUP(LEFT(A4,2),$D$11:$H$13,2,FALSE)&amp;"("&amp;CHOOSE(MOD(RIGHT(A4,3),4)+1,"사원","대리","과장","부장")&amp;")"</f>
        <v>경기도(과장)</v>
      </c>
      <c r="H4" s="2" t="str">
        <f t="shared" ref="H4:H8" si="4">_xlfn.CONCAT(MONTH(C4)+VLOOKUP(DAY(C4),$A$16:$D$19,2),"월 ",VLOOKUP(DAY(C4),$A$16:$D$19,4),"일")</f>
        <v>7월 25일</v>
      </c>
    </row>
    <row r="5" spans="1:8">
      <c r="A5" s="2" t="s">
        <v>6</v>
      </c>
      <c r="B5" s="2">
        <v>99</v>
      </c>
      <c r="C5" s="25">
        <v>44228</v>
      </c>
      <c r="D5" s="4">
        <f t="shared" si="0"/>
        <v>5000</v>
      </c>
      <c r="E5" s="4">
        <f t="shared" si="1"/>
        <v>2970000</v>
      </c>
      <c r="F5" s="4">
        <f t="shared" si="2"/>
        <v>2970000</v>
      </c>
      <c r="G5" s="32" t="str">
        <f t="shared" si="3"/>
        <v>서울(대리)</v>
      </c>
      <c r="H5" s="2" t="str">
        <f t="shared" si="4"/>
        <v>2월 10일</v>
      </c>
    </row>
    <row r="6" spans="1:8">
      <c r="A6" s="2" t="s">
        <v>79</v>
      </c>
      <c r="B6" s="2">
        <v>349</v>
      </c>
      <c r="C6" s="25">
        <v>44321</v>
      </c>
      <c r="D6" s="4" t="str">
        <f t="shared" si="0"/>
        <v>무료</v>
      </c>
      <c r="E6" s="4">
        <f t="shared" si="1"/>
        <v>8027000</v>
      </c>
      <c r="F6" s="4">
        <f t="shared" si="2"/>
        <v>7224300</v>
      </c>
      <c r="G6" s="32" t="str">
        <f t="shared" si="3"/>
        <v>강원도(과장)</v>
      </c>
      <c r="H6" s="2" t="str">
        <f t="shared" si="4"/>
        <v>5월 10일</v>
      </c>
    </row>
    <row r="7" spans="1:8">
      <c r="A7" s="2" t="s">
        <v>4</v>
      </c>
      <c r="B7" s="2">
        <v>30</v>
      </c>
      <c r="C7" s="25">
        <v>44451</v>
      </c>
      <c r="D7" s="4">
        <f t="shared" si="0"/>
        <v>8000</v>
      </c>
      <c r="E7" s="4">
        <f t="shared" si="1"/>
        <v>900000</v>
      </c>
      <c r="F7" s="4">
        <f t="shared" si="2"/>
        <v>900000</v>
      </c>
      <c r="G7" s="32" t="str">
        <f t="shared" si="3"/>
        <v>서울(대리)</v>
      </c>
      <c r="H7" s="2" t="str">
        <f t="shared" si="4"/>
        <v>9월 25일</v>
      </c>
    </row>
    <row r="8" spans="1:8">
      <c r="A8" s="2" t="s">
        <v>80</v>
      </c>
      <c r="B8" s="2">
        <v>450</v>
      </c>
      <c r="C8" s="25">
        <v>44325</v>
      </c>
      <c r="D8" s="4" t="str">
        <f t="shared" si="0"/>
        <v>무료</v>
      </c>
      <c r="E8" s="4">
        <f t="shared" si="1"/>
        <v>10800000</v>
      </c>
      <c r="F8" s="4">
        <f t="shared" si="2"/>
        <v>9720000</v>
      </c>
      <c r="G8" s="32" t="str">
        <f t="shared" si="3"/>
        <v>경기도(과장)</v>
      </c>
      <c r="H8" s="2" t="str">
        <f t="shared" si="4"/>
        <v>5월 10일</v>
      </c>
    </row>
    <row r="9" spans="1:8" ht="17.5" thickBot="1">
      <c r="A9" s="43" t="s">
        <v>7</v>
      </c>
      <c r="B9" s="99" t="s">
        <v>81</v>
      </c>
      <c r="C9" s="99"/>
      <c r="D9" s="43" t="s">
        <v>82</v>
      </c>
      <c r="E9" s="44"/>
      <c r="F9" s="100" t="s">
        <v>9</v>
      </c>
      <c r="G9" s="100"/>
      <c r="H9" s="100"/>
    </row>
    <row r="10" spans="1:8">
      <c r="A10" s="45" t="s">
        <v>9</v>
      </c>
      <c r="B10" s="46">
        <v>1</v>
      </c>
      <c r="C10" s="47">
        <v>7</v>
      </c>
      <c r="D10" s="45" t="s">
        <v>8</v>
      </c>
      <c r="E10" s="48" t="s">
        <v>3</v>
      </c>
      <c r="F10" s="46">
        <v>0</v>
      </c>
      <c r="G10" s="46">
        <v>100</v>
      </c>
      <c r="H10" s="49">
        <v>300</v>
      </c>
    </row>
    <row r="11" spans="1:8">
      <c r="A11" s="50">
        <v>0</v>
      </c>
      <c r="B11" s="51">
        <v>5000</v>
      </c>
      <c r="C11" s="52">
        <v>8000</v>
      </c>
      <c r="D11" s="53" t="s">
        <v>10</v>
      </c>
      <c r="E11" s="54" t="s">
        <v>11</v>
      </c>
      <c r="F11" s="51">
        <v>30000</v>
      </c>
      <c r="G11" s="51">
        <v>28000</v>
      </c>
      <c r="H11" s="55">
        <v>25000</v>
      </c>
    </row>
    <row r="12" spans="1:8">
      <c r="A12" s="56">
        <v>100</v>
      </c>
      <c r="B12" s="51">
        <v>3000</v>
      </c>
      <c r="C12" s="52">
        <v>5000</v>
      </c>
      <c r="D12" s="50" t="s">
        <v>12</v>
      </c>
      <c r="E12" s="57" t="s">
        <v>13</v>
      </c>
      <c r="F12" s="51">
        <v>29000</v>
      </c>
      <c r="G12" s="51">
        <v>27000</v>
      </c>
      <c r="H12" s="55">
        <v>24000</v>
      </c>
    </row>
    <row r="13" spans="1:8" ht="17.5" thickBot="1">
      <c r="A13" s="58">
        <v>200</v>
      </c>
      <c r="B13" s="59" t="s">
        <v>83</v>
      </c>
      <c r="C13" s="60">
        <v>3000</v>
      </c>
      <c r="D13" s="58" t="s">
        <v>14</v>
      </c>
      <c r="E13" s="61" t="s">
        <v>15</v>
      </c>
      <c r="F13" s="59">
        <v>28000</v>
      </c>
      <c r="G13" s="59">
        <v>26000</v>
      </c>
      <c r="H13" s="62">
        <v>23000</v>
      </c>
    </row>
    <row r="14" spans="1:8" ht="17.5" thickBot="1">
      <c r="A14" s="44" t="s">
        <v>84</v>
      </c>
      <c r="B14" s="44"/>
      <c r="C14" s="44"/>
      <c r="D14" s="44"/>
      <c r="E14" s="44"/>
      <c r="F14" s="44"/>
      <c r="G14" s="44"/>
      <c r="H14" s="44"/>
    </row>
    <row r="15" spans="1:8">
      <c r="A15" s="63" t="s">
        <v>85</v>
      </c>
      <c r="B15" s="46" t="s">
        <v>86</v>
      </c>
      <c r="C15" s="46" t="s">
        <v>87</v>
      </c>
      <c r="D15" s="49" t="s">
        <v>88</v>
      </c>
      <c r="E15" s="64"/>
    </row>
    <row r="16" spans="1:8">
      <c r="A16" s="50">
        <v>1</v>
      </c>
      <c r="B16" s="65">
        <v>0</v>
      </c>
      <c r="C16" s="65" t="s">
        <v>89</v>
      </c>
      <c r="D16" s="66">
        <v>10</v>
      </c>
    </row>
    <row r="17" spans="1:4">
      <c r="A17" s="50">
        <v>10</v>
      </c>
      <c r="B17" s="65">
        <v>0</v>
      </c>
      <c r="C17" s="65" t="s">
        <v>89</v>
      </c>
      <c r="D17" s="66">
        <v>25</v>
      </c>
    </row>
    <row r="18" spans="1:4">
      <c r="A18" s="50">
        <v>15</v>
      </c>
      <c r="B18" s="65">
        <v>1</v>
      </c>
      <c r="C18" s="65" t="s">
        <v>90</v>
      </c>
      <c r="D18" s="66">
        <v>5</v>
      </c>
    </row>
    <row r="19" spans="1:4" ht="17.5" thickBot="1">
      <c r="A19" s="58">
        <v>20</v>
      </c>
      <c r="B19" s="67">
        <v>2</v>
      </c>
      <c r="C19" s="67" t="s">
        <v>91</v>
      </c>
      <c r="D19" s="68">
        <v>1</v>
      </c>
    </row>
  </sheetData>
  <mergeCells count="2">
    <mergeCell ref="B9:C9"/>
    <mergeCell ref="F9:H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75BF-FF97-45E6-A1A4-619B9AE7B425}">
  <dimension ref="A1:H19"/>
  <sheetViews>
    <sheetView workbookViewId="0"/>
  </sheetViews>
  <sheetFormatPr defaultRowHeight="17"/>
  <cols>
    <col min="1" max="1" width="9.58203125" customWidth="1"/>
    <col min="2" max="2" width="7.08203125" bestFit="1" customWidth="1"/>
    <col min="3" max="3" width="9" bestFit="1" customWidth="1"/>
    <col min="4" max="4" width="10.5" bestFit="1" customWidth="1"/>
    <col min="5" max="5" width="11.75" customWidth="1"/>
    <col min="6" max="6" width="9" bestFit="1" customWidth="1"/>
    <col min="7" max="7" width="7.08203125" bestFit="1" customWidth="1"/>
    <col min="8" max="8" width="6.75" bestFit="1" customWidth="1"/>
  </cols>
  <sheetData>
    <row r="1" spans="1:8">
      <c r="A1" t="s">
        <v>17</v>
      </c>
    </row>
    <row r="2" spans="1:8">
      <c r="A2" s="2" t="s">
        <v>18</v>
      </c>
      <c r="B2" s="2" t="s">
        <v>97</v>
      </c>
      <c r="C2" s="2" t="s">
        <v>19</v>
      </c>
      <c r="D2" s="2" t="s">
        <v>98</v>
      </c>
      <c r="E2" s="3" t="s">
        <v>99</v>
      </c>
      <c r="F2" s="3" t="s">
        <v>100</v>
      </c>
      <c r="G2" s="3" t="s">
        <v>93</v>
      </c>
    </row>
    <row r="3" spans="1:8">
      <c r="A3" s="2" t="s">
        <v>101</v>
      </c>
      <c r="B3" s="2" t="s">
        <v>102</v>
      </c>
      <c r="C3" s="2">
        <v>99</v>
      </c>
      <c r="D3" s="26" t="s">
        <v>103</v>
      </c>
      <c r="E3" s="4" t="str">
        <f t="shared" ref="E3:E10" si="0">HLOOKUP(LEFT(A3,2),$B$12:$E$13,2,FALSE)&amp;"("&amp;HLOOKUP(VALUE(RIGHT(A3,1)),$F$12:$H$13,2)&amp;")"</f>
        <v>서울(사원)</v>
      </c>
      <c r="F3" s="32">
        <f>HLOOKUP(C3,$B$15:$D$19,MATCH(LEFT(A3,2),$A$16:$A$19,0)+1)</f>
        <v>0.03</v>
      </c>
      <c r="G3" s="70">
        <f>HLOOKUP(C3,$F$15:$H$17,MATCH(D3,{"현금","체크카드"},-1)+1)</f>
        <v>0.01</v>
      </c>
    </row>
    <row r="4" spans="1:8">
      <c r="A4" s="2" t="s">
        <v>26</v>
      </c>
      <c r="B4" s="2" t="s">
        <v>104</v>
      </c>
      <c r="C4" s="2">
        <v>274</v>
      </c>
      <c r="D4" s="26" t="s">
        <v>105</v>
      </c>
      <c r="E4" s="4" t="str">
        <f t="shared" si="0"/>
        <v>경상(과장)</v>
      </c>
      <c r="F4" s="32">
        <f t="shared" ref="F4:F10" si="1">HLOOKUP(C4,$B$15:$D$19,MATCH(LEFT(A4,2),$A$16:$A$19,0)+1)</f>
        <v>0.06</v>
      </c>
      <c r="G4" s="70">
        <f>HLOOKUP(C4,$F$15:$H$17,MATCH(D4,{"현금","체크카드"},-1)+1)</f>
        <v>0.03</v>
      </c>
    </row>
    <row r="5" spans="1:8">
      <c r="A5" s="2" t="s">
        <v>27</v>
      </c>
      <c r="B5" s="2" t="s">
        <v>106</v>
      </c>
      <c r="C5" s="2">
        <v>207</v>
      </c>
      <c r="D5" s="26" t="s">
        <v>107</v>
      </c>
      <c r="E5" s="4" t="str">
        <f t="shared" si="0"/>
        <v>서울(주임)</v>
      </c>
      <c r="F5" s="32">
        <f t="shared" si="1"/>
        <v>0.04</v>
      </c>
      <c r="G5" s="70">
        <f>HLOOKUP(C5,$F$15:$H$17,MATCH(D5,{"현금","체크카드"},-1)+1)</f>
        <v>0.05</v>
      </c>
    </row>
    <row r="6" spans="1:8">
      <c r="A6" s="2" t="s">
        <v>28</v>
      </c>
      <c r="B6" s="2" t="s">
        <v>94</v>
      </c>
      <c r="C6" s="2">
        <v>24</v>
      </c>
      <c r="D6" s="26" t="s">
        <v>107</v>
      </c>
      <c r="E6" s="4" t="str">
        <f t="shared" si="0"/>
        <v>경상(과장)</v>
      </c>
      <c r="F6" s="32">
        <f t="shared" si="1"/>
        <v>0.04</v>
      </c>
      <c r="G6" s="70">
        <f>HLOOKUP(C6,$F$15:$H$17,MATCH(D6,{"현금","체크카드"},-1)+1)</f>
        <v>0.03</v>
      </c>
    </row>
    <row r="7" spans="1:8">
      <c r="A7" s="2" t="s">
        <v>29</v>
      </c>
      <c r="B7" s="2" t="s">
        <v>95</v>
      </c>
      <c r="C7" s="2">
        <v>211</v>
      </c>
      <c r="D7" s="26" t="s">
        <v>105</v>
      </c>
      <c r="E7" s="4" t="str">
        <f t="shared" si="0"/>
        <v>경기(과장)</v>
      </c>
      <c r="F7" s="32">
        <f t="shared" si="1"/>
        <v>4.4999999999999998E-2</v>
      </c>
      <c r="G7" s="70">
        <f>HLOOKUP(C7,$F$15:$H$17,MATCH(D7,{"현금","체크카드"},-1)+1)</f>
        <v>0.03</v>
      </c>
    </row>
    <row r="8" spans="1:8">
      <c r="A8" s="2" t="s">
        <v>30</v>
      </c>
      <c r="B8" s="2" t="s">
        <v>96</v>
      </c>
      <c r="C8" s="2">
        <v>349</v>
      </c>
      <c r="D8" s="26" t="s">
        <v>107</v>
      </c>
      <c r="E8" s="4" t="str">
        <f t="shared" si="0"/>
        <v>서울(사원)</v>
      </c>
      <c r="F8" s="32">
        <f t="shared" si="1"/>
        <v>0.06</v>
      </c>
      <c r="G8" s="70">
        <f>HLOOKUP(C8,$F$15:$H$17,MATCH(D8,{"현금","체크카드"},-1)+1)</f>
        <v>0.1</v>
      </c>
    </row>
    <row r="9" spans="1:8">
      <c r="A9" s="2" t="s">
        <v>31</v>
      </c>
      <c r="B9" s="2" t="s">
        <v>108</v>
      </c>
      <c r="C9" s="2">
        <v>30</v>
      </c>
      <c r="D9" s="26" t="s">
        <v>103</v>
      </c>
      <c r="E9" s="4" t="str">
        <f t="shared" si="0"/>
        <v>강원(과장)</v>
      </c>
      <c r="F9" s="32">
        <f t="shared" si="1"/>
        <v>3.5000000000000003E-2</v>
      </c>
      <c r="G9" s="70">
        <f>HLOOKUP(C9,$F$15:$H$17,MATCH(D9,{"현금","체크카드"},-1)+1)</f>
        <v>0.01</v>
      </c>
    </row>
    <row r="10" spans="1:8">
      <c r="A10" s="2" t="s">
        <v>32</v>
      </c>
      <c r="B10" s="2" t="s">
        <v>109</v>
      </c>
      <c r="C10" s="2">
        <v>450</v>
      </c>
      <c r="D10" s="26" t="s">
        <v>103</v>
      </c>
      <c r="E10" s="4" t="str">
        <f t="shared" si="0"/>
        <v>강원(주임)</v>
      </c>
      <c r="F10" s="32">
        <f t="shared" si="1"/>
        <v>0.08</v>
      </c>
      <c r="G10" s="70">
        <f>HLOOKUP(C10,$F$15:$H$17,MATCH(D10,{"현금","체크카드"},-1)+1)</f>
        <v>0.05</v>
      </c>
    </row>
    <row r="11" spans="1:8" ht="17.5" thickBot="1">
      <c r="A11" s="5" t="s">
        <v>110</v>
      </c>
    </row>
    <row r="12" spans="1:8">
      <c r="A12" s="6" t="s">
        <v>35</v>
      </c>
      <c r="B12" s="7" t="s">
        <v>10</v>
      </c>
      <c r="C12" s="7" t="s">
        <v>12</v>
      </c>
      <c r="D12" s="7" t="s">
        <v>14</v>
      </c>
      <c r="E12" s="7" t="s">
        <v>16</v>
      </c>
      <c r="F12" s="71">
        <v>1</v>
      </c>
      <c r="G12" s="71">
        <v>3</v>
      </c>
      <c r="H12" s="72">
        <v>5</v>
      </c>
    </row>
    <row r="13" spans="1:8" ht="17.5" thickBot="1">
      <c r="A13" s="18" t="s">
        <v>20</v>
      </c>
      <c r="B13" s="19" t="s">
        <v>38</v>
      </c>
      <c r="C13" s="19" t="s">
        <v>111</v>
      </c>
      <c r="D13" s="19" t="s">
        <v>112</v>
      </c>
      <c r="E13" s="19" t="s">
        <v>113</v>
      </c>
      <c r="F13" s="19" t="s">
        <v>114</v>
      </c>
      <c r="G13" s="19" t="s">
        <v>115</v>
      </c>
      <c r="H13" s="41" t="s">
        <v>116</v>
      </c>
    </row>
    <row r="14" spans="1:8" ht="17.5" thickBot="1">
      <c r="A14" s="28" t="s">
        <v>117</v>
      </c>
      <c r="B14" s="28"/>
      <c r="C14" s="28"/>
      <c r="D14" s="28"/>
      <c r="E14" s="28" t="s">
        <v>118</v>
      </c>
    </row>
    <row r="15" spans="1:8">
      <c r="A15" s="30" t="s">
        <v>19</v>
      </c>
      <c r="B15" s="7">
        <v>0</v>
      </c>
      <c r="C15" s="7">
        <v>100</v>
      </c>
      <c r="D15" s="9">
        <v>300</v>
      </c>
      <c r="E15" s="73" t="s">
        <v>19</v>
      </c>
      <c r="F15" s="7">
        <v>0</v>
      </c>
      <c r="G15" s="7">
        <v>100</v>
      </c>
      <c r="H15" s="9">
        <v>300</v>
      </c>
    </row>
    <row r="16" spans="1:8">
      <c r="A16" s="10" t="s">
        <v>10</v>
      </c>
      <c r="B16" s="32">
        <v>0.03</v>
      </c>
      <c r="C16" s="32">
        <v>0.04</v>
      </c>
      <c r="D16" s="74">
        <v>0.06</v>
      </c>
      <c r="E16" s="10" t="s">
        <v>107</v>
      </c>
      <c r="F16" s="32">
        <v>0.03</v>
      </c>
      <c r="G16" s="32">
        <v>0.05</v>
      </c>
      <c r="H16" s="74">
        <v>0.1</v>
      </c>
    </row>
    <row r="17" spans="1:8" ht="17.5" thickBot="1">
      <c r="A17" s="15" t="s">
        <v>12</v>
      </c>
      <c r="B17" s="32">
        <v>3.2000000000000001E-2</v>
      </c>
      <c r="C17" s="32">
        <v>4.4999999999999998E-2</v>
      </c>
      <c r="D17" s="74">
        <v>6.5000000000000002E-2</v>
      </c>
      <c r="E17" s="18" t="s">
        <v>119</v>
      </c>
      <c r="F17" s="39">
        <v>0.01</v>
      </c>
      <c r="G17" s="39">
        <v>0.03</v>
      </c>
      <c r="H17" s="75">
        <v>0.05</v>
      </c>
    </row>
    <row r="18" spans="1:8">
      <c r="A18" s="15" t="s">
        <v>14</v>
      </c>
      <c r="B18" s="32">
        <v>3.5000000000000003E-2</v>
      </c>
      <c r="C18" s="32">
        <v>5.5E-2</v>
      </c>
      <c r="D18" s="74">
        <v>0.08</v>
      </c>
    </row>
    <row r="19" spans="1:8" ht="17.5" thickBot="1">
      <c r="A19" s="18" t="s">
        <v>16</v>
      </c>
      <c r="B19" s="39">
        <v>0.04</v>
      </c>
      <c r="C19" s="39">
        <v>0.06</v>
      </c>
      <c r="D19" s="75">
        <v>0.1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76CD-C78D-4672-AF4A-518E23294544}">
  <dimension ref="A1:F13"/>
  <sheetViews>
    <sheetView workbookViewId="0"/>
  </sheetViews>
  <sheetFormatPr defaultRowHeight="17"/>
  <cols>
    <col min="2" max="3" width="11.08203125" bestFit="1" customWidth="1"/>
    <col min="4" max="4" width="9.83203125" customWidth="1"/>
    <col min="5" max="5" width="11.08203125" bestFit="1" customWidth="1"/>
  </cols>
  <sheetData>
    <row r="1" spans="1:6">
      <c r="A1" s="1" t="s">
        <v>17</v>
      </c>
    </row>
    <row r="2" spans="1:6">
      <c r="A2" s="2" t="s">
        <v>18</v>
      </c>
      <c r="B2" s="2" t="s">
        <v>19</v>
      </c>
      <c r="C2" s="2" t="s">
        <v>120</v>
      </c>
      <c r="D2" s="76" t="s">
        <v>121</v>
      </c>
    </row>
    <row r="3" spans="1:6">
      <c r="A3" s="2" t="s">
        <v>122</v>
      </c>
      <c r="B3" s="2">
        <v>207</v>
      </c>
      <c r="C3" s="25">
        <v>43822</v>
      </c>
      <c r="D3" s="4" t="str">
        <f>INDEX($E$11:$F$13,MATCH(B3,$D$11:$D$13,1),MATCH(YEAR(C3),$E$10:$F$10,1))</f>
        <v>무료</v>
      </c>
    </row>
    <row r="4" spans="1:6">
      <c r="A4" s="2" t="s">
        <v>29</v>
      </c>
      <c r="B4" s="2">
        <v>24</v>
      </c>
      <c r="C4" s="25">
        <v>44176</v>
      </c>
      <c r="D4" s="4">
        <f t="shared" ref="D4:D8" si="0">INDEX($E$11:$F$13,MATCH(B4,$D$11:$D$13,1),MATCH(YEAR(C4),$E$10:$F$10,1))</f>
        <v>5000</v>
      </c>
    </row>
    <row r="5" spans="1:6">
      <c r="A5" s="15" t="s">
        <v>28</v>
      </c>
      <c r="B5" s="2">
        <v>99</v>
      </c>
      <c r="C5" s="25">
        <v>44228</v>
      </c>
      <c r="D5" s="4">
        <f t="shared" si="0"/>
        <v>8000</v>
      </c>
    </row>
    <row r="6" spans="1:6">
      <c r="A6" s="2" t="s">
        <v>123</v>
      </c>
      <c r="B6" s="2">
        <v>349</v>
      </c>
      <c r="C6" s="25">
        <v>43956</v>
      </c>
      <c r="D6" s="4" t="str">
        <f t="shared" si="0"/>
        <v>무료</v>
      </c>
    </row>
    <row r="7" spans="1:6">
      <c r="A7" s="2" t="s">
        <v>25</v>
      </c>
      <c r="B7" s="2">
        <v>30</v>
      </c>
      <c r="C7" s="25">
        <v>44451</v>
      </c>
      <c r="D7" s="4">
        <f t="shared" si="0"/>
        <v>8000</v>
      </c>
    </row>
    <row r="8" spans="1:6">
      <c r="A8" s="2" t="s">
        <v>124</v>
      </c>
      <c r="B8" s="2">
        <v>350</v>
      </c>
      <c r="C8" s="25">
        <v>44205</v>
      </c>
      <c r="D8" s="4">
        <f t="shared" si="0"/>
        <v>3000</v>
      </c>
    </row>
    <row r="9" spans="1:6">
      <c r="A9" s="43" t="s">
        <v>33</v>
      </c>
      <c r="D9" s="43" t="s">
        <v>82</v>
      </c>
      <c r="E9" s="69" t="s">
        <v>125</v>
      </c>
      <c r="F9" s="69"/>
    </row>
    <row r="10" spans="1:6">
      <c r="A10" s="65" t="s">
        <v>18</v>
      </c>
      <c r="B10" s="77" t="s">
        <v>9</v>
      </c>
      <c r="C10" s="77" t="s">
        <v>72</v>
      </c>
      <c r="D10" s="65" t="s">
        <v>9</v>
      </c>
      <c r="E10" s="65">
        <v>2019</v>
      </c>
      <c r="F10" s="78">
        <v>2021</v>
      </c>
    </row>
    <row r="11" spans="1:6">
      <c r="A11" s="65" t="s">
        <v>123</v>
      </c>
      <c r="B11" s="2">
        <f>INDEX($A$3:$D$8,MATCH($A11,$A$3:$A$8,0),MATCH(B$10,$A$2:$D$2,0))</f>
        <v>349</v>
      </c>
      <c r="C11" s="25">
        <f>INDEX($A$3:$D$8,MATCH($A11,$A$3:$A$8,0),MATCH(C$10,$A$2:$D$2,0))</f>
        <v>43956</v>
      </c>
      <c r="D11" s="65">
        <v>0</v>
      </c>
      <c r="E11" s="51">
        <v>5000</v>
      </c>
      <c r="F11" s="79">
        <v>8000</v>
      </c>
    </row>
    <row r="12" spans="1:6">
      <c r="A12" s="80" t="s">
        <v>25</v>
      </c>
      <c r="B12" s="2">
        <f t="shared" ref="B12:C13" si="1">INDEX($A$3:$D$8,MATCH($A12,$A$3:$A$8,0),MATCH(B$10,$A$2:$D$2,0))</f>
        <v>30</v>
      </c>
      <c r="C12" s="25">
        <f t="shared" si="1"/>
        <v>44451</v>
      </c>
      <c r="D12" s="80">
        <v>100</v>
      </c>
      <c r="E12" s="51">
        <v>3000</v>
      </c>
      <c r="F12" s="79">
        <v>5000</v>
      </c>
    </row>
    <row r="13" spans="1:6">
      <c r="A13" s="65" t="s">
        <v>124</v>
      </c>
      <c r="B13" s="2">
        <f t="shared" si="1"/>
        <v>350</v>
      </c>
      <c r="C13" s="25">
        <f t="shared" si="1"/>
        <v>44205</v>
      </c>
      <c r="D13" s="65">
        <v>200</v>
      </c>
      <c r="E13" s="51" t="s">
        <v>126</v>
      </c>
      <c r="F13" s="79">
        <v>3000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997D-7738-4ABE-BFE9-17A8E37D260C}">
  <dimension ref="A1:G10"/>
  <sheetViews>
    <sheetView workbookViewId="0"/>
  </sheetViews>
  <sheetFormatPr defaultRowHeight="17"/>
  <cols>
    <col min="1" max="1" width="9" bestFit="1" customWidth="1"/>
    <col min="2" max="2" width="9.83203125" bestFit="1" customWidth="1"/>
    <col min="3" max="4" width="9" bestFit="1" customWidth="1"/>
    <col min="5" max="5" width="2" customWidth="1"/>
    <col min="6" max="6" width="6" customWidth="1"/>
    <col min="7" max="7" width="9" bestFit="1" customWidth="1"/>
  </cols>
  <sheetData>
    <row r="1" spans="1:7">
      <c r="A1" s="81" t="s">
        <v>17</v>
      </c>
      <c r="E1" s="5"/>
      <c r="F1" s="81" t="s">
        <v>33</v>
      </c>
      <c r="G1" s="5"/>
    </row>
    <row r="2" spans="1:7">
      <c r="A2" s="82" t="s">
        <v>128</v>
      </c>
      <c r="B2" s="82" t="s">
        <v>129</v>
      </c>
      <c r="C2" s="83" t="s">
        <v>130</v>
      </c>
      <c r="D2" s="103" t="s">
        <v>131</v>
      </c>
      <c r="F2" s="2" t="s">
        <v>35</v>
      </c>
      <c r="G2" s="2" t="s">
        <v>131</v>
      </c>
    </row>
    <row r="3" spans="1:7">
      <c r="A3" s="82" t="s">
        <v>132</v>
      </c>
      <c r="B3" s="84">
        <v>43951</v>
      </c>
      <c r="C3" s="82" t="str">
        <f t="shared" ref="C3:C10" si="0">CHOOSE(WEEKDAY(B3,2),"월요일","화요일","수요일","목요일","금요일","토요일","일요일")</f>
        <v>목요일</v>
      </c>
      <c r="D3" s="85" t="str">
        <f t="shared" ref="D3:D10" si="1">LOOKUP(LEFT(A3,1)*1,$F$3:$F$6,$G$3:$G$6)</f>
        <v>화장지</v>
      </c>
      <c r="F3" s="2">
        <v>1</v>
      </c>
      <c r="G3" s="85" t="s">
        <v>133</v>
      </c>
    </row>
    <row r="4" spans="1:7">
      <c r="A4" s="82" t="s">
        <v>134</v>
      </c>
      <c r="B4" s="84">
        <v>43954</v>
      </c>
      <c r="C4" s="82" t="str">
        <f t="shared" si="0"/>
        <v>일요일</v>
      </c>
      <c r="D4" s="85" t="str">
        <f t="shared" si="1"/>
        <v>물티슈</v>
      </c>
      <c r="F4" s="2">
        <v>2</v>
      </c>
      <c r="G4" s="85" t="s">
        <v>135</v>
      </c>
    </row>
    <row r="5" spans="1:7">
      <c r="A5" s="82" t="s">
        <v>136</v>
      </c>
      <c r="B5" s="84">
        <v>43970</v>
      </c>
      <c r="C5" s="82" t="str">
        <f t="shared" si="0"/>
        <v>화요일</v>
      </c>
      <c r="D5" s="85" t="str">
        <f t="shared" si="1"/>
        <v>각티슈</v>
      </c>
      <c r="F5" s="2">
        <v>3</v>
      </c>
      <c r="G5" s="85" t="s">
        <v>137</v>
      </c>
    </row>
    <row r="6" spans="1:7">
      <c r="A6" s="82" t="s">
        <v>138</v>
      </c>
      <c r="B6" s="84">
        <v>43943</v>
      </c>
      <c r="C6" s="82" t="str">
        <f t="shared" si="0"/>
        <v>수요일</v>
      </c>
      <c r="D6" s="85" t="str">
        <f t="shared" si="1"/>
        <v>물티슈</v>
      </c>
      <c r="F6" s="2">
        <v>4</v>
      </c>
      <c r="G6" s="85" t="s">
        <v>139</v>
      </c>
    </row>
    <row r="7" spans="1:7">
      <c r="A7" s="82" t="s">
        <v>140</v>
      </c>
      <c r="B7" s="84">
        <v>43994</v>
      </c>
      <c r="C7" s="82" t="str">
        <f t="shared" si="0"/>
        <v>금요일</v>
      </c>
      <c r="D7" s="85" t="str">
        <f t="shared" si="1"/>
        <v>키친타올</v>
      </c>
    </row>
    <row r="8" spans="1:7">
      <c r="A8" s="82" t="s">
        <v>141</v>
      </c>
      <c r="B8" s="84">
        <v>43921</v>
      </c>
      <c r="C8" s="82" t="str">
        <f t="shared" si="0"/>
        <v>화요일</v>
      </c>
      <c r="D8" s="85" t="str">
        <f t="shared" si="1"/>
        <v>각티슈</v>
      </c>
    </row>
    <row r="9" spans="1:7">
      <c r="A9" s="82" t="s">
        <v>142</v>
      </c>
      <c r="B9" s="84">
        <v>43978</v>
      </c>
      <c r="C9" s="82" t="str">
        <f t="shared" si="0"/>
        <v>수요일</v>
      </c>
      <c r="D9" s="85" t="str">
        <f t="shared" si="1"/>
        <v>화장지</v>
      </c>
    </row>
    <row r="10" spans="1:7">
      <c r="A10" s="82" t="s">
        <v>143</v>
      </c>
      <c r="B10" s="84">
        <v>43984</v>
      </c>
      <c r="C10" s="82" t="str">
        <f t="shared" si="0"/>
        <v>화요일</v>
      </c>
      <c r="D10" s="85" t="str">
        <f t="shared" si="1"/>
        <v>키친타올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6F285-75FD-444E-8B4B-41A5E6599E49}">
  <sheetPr>
    <tabColor theme="5" tint="0.59999389629810485"/>
  </sheetPr>
  <dimension ref="A1:I17"/>
  <sheetViews>
    <sheetView workbookViewId="0"/>
  </sheetViews>
  <sheetFormatPr defaultRowHeight="17"/>
  <cols>
    <col min="1" max="1" width="9" customWidth="1"/>
    <col min="2" max="2" width="11.08203125" bestFit="1" customWidth="1"/>
    <col min="3" max="3" width="10.33203125" customWidth="1"/>
    <col min="4" max="4" width="9.25" bestFit="1" customWidth="1"/>
    <col min="5" max="5" width="9" bestFit="1" customWidth="1"/>
    <col min="6" max="6" width="11.75" customWidth="1"/>
    <col min="7" max="7" width="9" bestFit="1" customWidth="1"/>
    <col min="8" max="8" width="10.5" customWidth="1"/>
    <col min="9" max="9" width="13.5" customWidth="1"/>
  </cols>
  <sheetData>
    <row r="1" spans="1:9">
      <c r="A1" t="s">
        <v>17</v>
      </c>
    </row>
    <row r="2" spans="1:9">
      <c r="A2" s="82" t="s">
        <v>163</v>
      </c>
      <c r="B2" s="82" t="s">
        <v>164</v>
      </c>
      <c r="C2" s="82" t="s">
        <v>165</v>
      </c>
      <c r="D2" s="82" t="s">
        <v>166</v>
      </c>
      <c r="E2" s="82" t="s">
        <v>167</v>
      </c>
      <c r="F2" s="104" t="s">
        <v>168</v>
      </c>
      <c r="G2" s="104" t="s">
        <v>93</v>
      </c>
      <c r="H2" s="83" t="s">
        <v>169</v>
      </c>
      <c r="I2" s="83" t="s">
        <v>170</v>
      </c>
    </row>
    <row r="3" spans="1:9">
      <c r="A3" s="25" t="s">
        <v>145</v>
      </c>
      <c r="B3" s="25">
        <v>44288</v>
      </c>
      <c r="C3" s="2" t="s">
        <v>146</v>
      </c>
      <c r="D3" s="2" t="s">
        <v>147</v>
      </c>
      <c r="E3" s="86">
        <v>174</v>
      </c>
      <c r="F3" s="4" t="str">
        <f t="shared" ref="F3:F11" si="0">TEXT(E3*LOOKUP(D3,$A$14:$A$17,$B$14:$B$17),"#,##0원")</f>
        <v>5,220,000원</v>
      </c>
      <c r="G3" s="87">
        <f t="shared" ref="G3:G11" si="1">IFERROR(VLOOKUP(LEFT(A3,2),$C$14:$G$16,MATCH(E3,$E$13:$G$13,1)+2,FALSE),"할인없음")</f>
        <v>0.09</v>
      </c>
      <c r="H3" s="2" t="str">
        <f>CHOOSE(WEEKDAY(B3,2),"월","화","수","목","금","월","월")</f>
        <v>금</v>
      </c>
      <c r="I3" s="86" t="str">
        <f>VLOOKUP(LEFT(A3,2),$C$14:$G$16,2,FALSE)&amp;"("&amp;CHOOSE(MOD(RIGHT(A3,2),3)+1,"서울","경기","충청")&amp;")"</f>
        <v>전화(경기)</v>
      </c>
    </row>
    <row r="4" spans="1:9">
      <c r="A4" s="25" t="s">
        <v>148</v>
      </c>
      <c r="B4" s="25">
        <v>44247</v>
      </c>
      <c r="C4" s="2" t="s">
        <v>149</v>
      </c>
      <c r="D4" s="2" t="s">
        <v>147</v>
      </c>
      <c r="E4" s="86">
        <v>6</v>
      </c>
      <c r="F4" s="4" t="str">
        <f t="shared" si="0"/>
        <v>180,000원</v>
      </c>
      <c r="G4" s="87" t="str">
        <f t="shared" si="1"/>
        <v>할인없음</v>
      </c>
      <c r="H4" s="2" t="str">
        <f t="shared" ref="H4:H11" si="2">CHOOSE(WEEKDAY(B4,2),"월","화","수","목","금","월","월")</f>
        <v>월</v>
      </c>
      <c r="I4" s="86" t="str">
        <f t="shared" ref="I4:I11" si="3">VLOOKUP(LEFT(A4,2),$C$14:$G$16,2,FALSE)&amp;"("&amp;CHOOSE(MOD(RIGHT(A4,2),3)+1,"서울","경기","충청")&amp;")"</f>
        <v>인터넷(경기)</v>
      </c>
    </row>
    <row r="5" spans="1:9">
      <c r="A5" s="25" t="s">
        <v>150</v>
      </c>
      <c r="B5" s="25">
        <v>44232</v>
      </c>
      <c r="C5" s="2" t="s">
        <v>151</v>
      </c>
      <c r="D5" s="2" t="s">
        <v>152</v>
      </c>
      <c r="E5" s="86">
        <v>93</v>
      </c>
      <c r="F5" s="4" t="str">
        <f t="shared" si="0"/>
        <v>1,395,000원</v>
      </c>
      <c r="G5" s="87">
        <f t="shared" si="1"/>
        <v>0.05</v>
      </c>
      <c r="H5" s="2" t="str">
        <f t="shared" si="2"/>
        <v>금</v>
      </c>
      <c r="I5" s="86" t="str">
        <f t="shared" si="3"/>
        <v>방문(충청)</v>
      </c>
    </row>
    <row r="6" spans="1:9">
      <c r="A6" s="25" t="s">
        <v>153</v>
      </c>
      <c r="B6" s="25">
        <v>44419</v>
      </c>
      <c r="C6" s="2" t="s">
        <v>171</v>
      </c>
      <c r="D6" s="2" t="s">
        <v>154</v>
      </c>
      <c r="E6" s="86">
        <v>213</v>
      </c>
      <c r="F6" s="4" t="str">
        <f t="shared" si="0"/>
        <v>6,390,000원</v>
      </c>
      <c r="G6" s="87">
        <f t="shared" si="1"/>
        <v>0.15</v>
      </c>
      <c r="H6" s="2" t="str">
        <f t="shared" si="2"/>
        <v>수</v>
      </c>
      <c r="I6" s="86" t="str">
        <f t="shared" si="3"/>
        <v>인터넷(서울)</v>
      </c>
    </row>
    <row r="7" spans="1:9">
      <c r="A7" s="25" t="s">
        <v>155</v>
      </c>
      <c r="B7" s="25">
        <v>44451</v>
      </c>
      <c r="C7" s="2" t="s">
        <v>156</v>
      </c>
      <c r="D7" s="2" t="s">
        <v>154</v>
      </c>
      <c r="E7" s="86">
        <v>107</v>
      </c>
      <c r="F7" s="4" t="str">
        <f t="shared" si="0"/>
        <v>3,210,000원</v>
      </c>
      <c r="G7" s="87">
        <f t="shared" si="1"/>
        <v>7.0000000000000007E-2</v>
      </c>
      <c r="H7" s="2" t="str">
        <f t="shared" si="2"/>
        <v>월</v>
      </c>
      <c r="I7" s="86" t="str">
        <f t="shared" si="3"/>
        <v>방문(경기)</v>
      </c>
    </row>
    <row r="8" spans="1:9">
      <c r="A8" s="25" t="s">
        <v>157</v>
      </c>
      <c r="B8" s="25">
        <v>44442</v>
      </c>
      <c r="C8" s="2" t="s">
        <v>172</v>
      </c>
      <c r="D8" s="2" t="s">
        <v>147</v>
      </c>
      <c r="E8" s="86">
        <v>12</v>
      </c>
      <c r="F8" s="4" t="str">
        <f t="shared" si="0"/>
        <v>360,000원</v>
      </c>
      <c r="G8" s="87" t="str">
        <f t="shared" si="1"/>
        <v>할인없음</v>
      </c>
      <c r="H8" s="2" t="str">
        <f t="shared" si="2"/>
        <v>금</v>
      </c>
      <c r="I8" s="86" t="str">
        <f t="shared" si="3"/>
        <v>방문(충청)</v>
      </c>
    </row>
    <row r="9" spans="1:9">
      <c r="A9" s="25" t="s">
        <v>158</v>
      </c>
      <c r="B9" s="25">
        <v>44485</v>
      </c>
      <c r="C9" s="2" t="s">
        <v>159</v>
      </c>
      <c r="D9" s="2" t="s">
        <v>152</v>
      </c>
      <c r="E9" s="86">
        <v>57</v>
      </c>
      <c r="F9" s="4" t="str">
        <f t="shared" si="0"/>
        <v>855,000원</v>
      </c>
      <c r="G9" s="87">
        <f t="shared" si="1"/>
        <v>0.1</v>
      </c>
      <c r="H9" s="2" t="str">
        <f t="shared" si="2"/>
        <v>월</v>
      </c>
      <c r="I9" s="86" t="str">
        <f t="shared" si="3"/>
        <v>인터넷(서울)</v>
      </c>
    </row>
    <row r="10" spans="1:9">
      <c r="A10" s="25" t="s">
        <v>160</v>
      </c>
      <c r="B10" s="25">
        <v>44254</v>
      </c>
      <c r="C10" s="2" t="s">
        <v>173</v>
      </c>
      <c r="D10" s="2" t="s">
        <v>147</v>
      </c>
      <c r="E10" s="86">
        <v>153</v>
      </c>
      <c r="F10" s="4" t="str">
        <f t="shared" si="0"/>
        <v>4,590,000원</v>
      </c>
      <c r="G10" s="87">
        <f t="shared" si="1"/>
        <v>0.12</v>
      </c>
      <c r="H10" s="2" t="str">
        <f t="shared" si="2"/>
        <v>월</v>
      </c>
      <c r="I10" s="86" t="str">
        <f t="shared" si="3"/>
        <v>인터넷(충청)</v>
      </c>
    </row>
    <row r="11" spans="1:9">
      <c r="A11" s="25" t="s">
        <v>161</v>
      </c>
      <c r="B11" s="25">
        <v>44331</v>
      </c>
      <c r="C11" s="2" t="s">
        <v>174</v>
      </c>
      <c r="D11" s="2" t="s">
        <v>162</v>
      </c>
      <c r="E11" s="86">
        <v>95</v>
      </c>
      <c r="F11" s="4" t="str">
        <f t="shared" si="0"/>
        <v>1,900,000원</v>
      </c>
      <c r="G11" s="87">
        <f t="shared" si="1"/>
        <v>0.1</v>
      </c>
      <c r="H11" s="2" t="str">
        <f t="shared" si="2"/>
        <v>월</v>
      </c>
      <c r="I11" s="86" t="str">
        <f t="shared" si="3"/>
        <v>인터넷(서울)</v>
      </c>
    </row>
    <row r="12" spans="1:9">
      <c r="A12" s="5" t="s">
        <v>33</v>
      </c>
      <c r="C12" s="5" t="s">
        <v>175</v>
      </c>
    </row>
    <row r="13" spans="1:9">
      <c r="A13" s="82" t="s">
        <v>166</v>
      </c>
      <c r="B13" s="82" t="s">
        <v>176</v>
      </c>
      <c r="C13" s="82" t="s">
        <v>177</v>
      </c>
      <c r="D13" s="82" t="s">
        <v>178</v>
      </c>
      <c r="E13" s="82">
        <v>50</v>
      </c>
      <c r="F13" s="82">
        <v>100</v>
      </c>
      <c r="G13" s="88">
        <v>200</v>
      </c>
    </row>
    <row r="14" spans="1:9">
      <c r="A14" s="2" t="s">
        <v>152</v>
      </c>
      <c r="B14" s="4">
        <v>15000</v>
      </c>
      <c r="C14" s="82" t="s">
        <v>179</v>
      </c>
      <c r="D14" s="82" t="s">
        <v>180</v>
      </c>
      <c r="E14" s="89">
        <v>0.1</v>
      </c>
      <c r="F14" s="89">
        <v>0.12</v>
      </c>
      <c r="G14" s="90">
        <v>0.15</v>
      </c>
    </row>
    <row r="15" spans="1:9">
      <c r="A15" s="2" t="s">
        <v>162</v>
      </c>
      <c r="B15" s="4">
        <v>20000</v>
      </c>
      <c r="C15" s="82" t="s">
        <v>181</v>
      </c>
      <c r="D15" s="82" t="s">
        <v>182</v>
      </c>
      <c r="E15" s="89">
        <v>0.05</v>
      </c>
      <c r="F15" s="89">
        <v>7.0000000000000007E-2</v>
      </c>
      <c r="G15" s="90">
        <v>0.09</v>
      </c>
    </row>
    <row r="16" spans="1:9">
      <c r="A16" s="2" t="s">
        <v>147</v>
      </c>
      <c r="B16" s="4">
        <v>30000</v>
      </c>
      <c r="C16" s="82" t="s">
        <v>183</v>
      </c>
      <c r="D16" s="82" t="s">
        <v>184</v>
      </c>
      <c r="E16" s="89">
        <v>7.0000000000000007E-2</v>
      </c>
      <c r="F16" s="89">
        <v>0.09</v>
      </c>
      <c r="G16" s="90">
        <v>0.11</v>
      </c>
    </row>
    <row r="17" spans="1:3">
      <c r="A17" s="2" t="s">
        <v>154</v>
      </c>
      <c r="B17" s="4">
        <v>30000</v>
      </c>
      <c r="C17" s="91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EB6A-EA04-419D-8BE6-365BF44F1D16}">
  <sheetPr>
    <tabColor theme="5" tint="0.59999389629810485"/>
  </sheetPr>
  <dimension ref="A1:H17"/>
  <sheetViews>
    <sheetView workbookViewId="0"/>
  </sheetViews>
  <sheetFormatPr defaultRowHeight="17"/>
  <cols>
    <col min="1" max="1" width="9.08203125" customWidth="1"/>
    <col min="2" max="2" width="11.08203125" bestFit="1" customWidth="1"/>
    <col min="3" max="3" width="11" bestFit="1" customWidth="1"/>
    <col min="4" max="4" width="9.33203125" bestFit="1" customWidth="1"/>
    <col min="5" max="5" width="9" bestFit="1" customWidth="1"/>
    <col min="6" max="6" width="11.25" customWidth="1"/>
    <col min="7" max="7" width="8.08203125" bestFit="1" customWidth="1"/>
    <col min="8" max="8" width="14.75" bestFit="1" customWidth="1"/>
  </cols>
  <sheetData>
    <row r="1" spans="1:8">
      <c r="A1" t="s">
        <v>127</v>
      </c>
      <c r="F1" s="92"/>
    </row>
    <row r="2" spans="1:8">
      <c r="A2" s="82" t="s">
        <v>144</v>
      </c>
      <c r="B2" s="82" t="s">
        <v>185</v>
      </c>
      <c r="C2" s="82" t="s">
        <v>186</v>
      </c>
      <c r="D2" s="82" t="s">
        <v>187</v>
      </c>
      <c r="E2" s="82" t="s">
        <v>188</v>
      </c>
      <c r="F2" s="93" t="s">
        <v>189</v>
      </c>
      <c r="G2" s="93" t="s">
        <v>92</v>
      </c>
      <c r="H2" s="104" t="s">
        <v>190</v>
      </c>
    </row>
    <row r="3" spans="1:8">
      <c r="A3" s="82" t="s">
        <v>191</v>
      </c>
      <c r="B3" s="94">
        <v>44198</v>
      </c>
      <c r="C3" s="82" t="s">
        <v>192</v>
      </c>
      <c r="D3" s="95">
        <v>35000</v>
      </c>
      <c r="E3" s="88">
        <v>12</v>
      </c>
      <c r="F3" s="2" t="str">
        <f>_xlfn.CONCAT(ROW()-2,"-",TEXT(VLOOKUP(D3,$A$13:$E$17,MATCH(E3,$B$11:$E$11,1)+1),"0%"))</f>
        <v>1-2%</v>
      </c>
      <c r="G3" s="87">
        <f>INDEX($B$13:$E$17,MATCH(D3,$A$13:$A$17,1),MATCH(E3,$B$11:$E$11,1))</f>
        <v>0.02</v>
      </c>
      <c r="H3" s="96" t="str">
        <f>_xlfn.CONCAT(C3,"-",TEXT(HLOOKUP(E3,$B$11:$E$17,MATCH(D3,$A$13:$A$17,1)+2),"0%"))</f>
        <v>정수기-2%</v>
      </c>
    </row>
    <row r="4" spans="1:8">
      <c r="A4" s="82" t="s">
        <v>193</v>
      </c>
      <c r="B4" s="94">
        <v>43954</v>
      </c>
      <c r="C4" s="82" t="s">
        <v>192</v>
      </c>
      <c r="D4" s="95">
        <v>120000</v>
      </c>
      <c r="E4" s="88">
        <v>18</v>
      </c>
      <c r="F4" s="2" t="str">
        <f t="shared" ref="F4:F9" si="0">_xlfn.CONCAT(ROW()-2,"-",TEXT(VLOOKUP(D4,$A$13:$E$17,MATCH(E4,$B$11:$E$11,1)+1),"0%"))</f>
        <v>2-4%</v>
      </c>
      <c r="G4" s="87">
        <f t="shared" ref="G4:G9" si="1">INDEX($B$13:$E$17,MATCH(D4,$A$13:$A$17,1),MATCH(E4,$B$11:$E$11,1))</f>
        <v>0.04</v>
      </c>
      <c r="H4" s="96" t="str">
        <f t="shared" ref="H4:H9" si="2">_xlfn.CONCAT(C4,"-",TEXT(HLOOKUP(E4,$B$11:$E$17,MATCH(D4,$A$13:$A$17,1)+2),"0%"))</f>
        <v>정수기-4%</v>
      </c>
    </row>
    <row r="5" spans="1:8">
      <c r="A5" s="82" t="s">
        <v>194</v>
      </c>
      <c r="B5" s="94">
        <v>43891</v>
      </c>
      <c r="C5" s="82" t="s">
        <v>195</v>
      </c>
      <c r="D5" s="95">
        <v>26000</v>
      </c>
      <c r="E5" s="88">
        <v>12</v>
      </c>
      <c r="F5" s="2" t="str">
        <f t="shared" si="0"/>
        <v>3-2%</v>
      </c>
      <c r="G5" s="87">
        <f t="shared" si="1"/>
        <v>0.02</v>
      </c>
      <c r="H5" s="96" t="str">
        <f t="shared" si="2"/>
        <v>공기청정기-2%</v>
      </c>
    </row>
    <row r="6" spans="1:8">
      <c r="A6" s="82" t="s">
        <v>196</v>
      </c>
      <c r="B6" s="94">
        <v>43974</v>
      </c>
      <c r="C6" s="82" t="s">
        <v>197</v>
      </c>
      <c r="D6" s="95">
        <v>74000</v>
      </c>
      <c r="E6" s="88">
        <v>24</v>
      </c>
      <c r="F6" s="2" t="str">
        <f t="shared" si="0"/>
        <v>4-4%</v>
      </c>
      <c r="G6" s="87">
        <f t="shared" si="1"/>
        <v>0.04</v>
      </c>
      <c r="H6" s="96" t="str">
        <f t="shared" si="2"/>
        <v>안마기-4%</v>
      </c>
    </row>
    <row r="7" spans="1:8">
      <c r="A7" s="82" t="s">
        <v>193</v>
      </c>
      <c r="B7" s="94">
        <v>43924</v>
      </c>
      <c r="C7" s="82" t="s">
        <v>192</v>
      </c>
      <c r="D7" s="95">
        <v>210000</v>
      </c>
      <c r="E7" s="88">
        <v>30</v>
      </c>
      <c r="F7" s="2" t="str">
        <f t="shared" si="0"/>
        <v>5-6%</v>
      </c>
      <c r="G7" s="87">
        <f t="shared" si="1"/>
        <v>0.06</v>
      </c>
      <c r="H7" s="96" t="str">
        <f t="shared" si="2"/>
        <v>정수기-6%</v>
      </c>
    </row>
    <row r="8" spans="1:8">
      <c r="A8" s="82" t="s">
        <v>198</v>
      </c>
      <c r="B8" s="94">
        <v>44205</v>
      </c>
      <c r="C8" s="82" t="s">
        <v>197</v>
      </c>
      <c r="D8" s="95">
        <v>98000</v>
      </c>
      <c r="E8" s="88">
        <v>13</v>
      </c>
      <c r="F8" s="2" t="str">
        <f t="shared" si="0"/>
        <v>6-3%</v>
      </c>
      <c r="G8" s="87">
        <f t="shared" si="1"/>
        <v>0.03</v>
      </c>
      <c r="H8" s="96" t="str">
        <f t="shared" si="2"/>
        <v>안마기-3%</v>
      </c>
    </row>
    <row r="9" spans="1:8">
      <c r="A9" s="82" t="s">
        <v>196</v>
      </c>
      <c r="B9" s="94">
        <v>43807</v>
      </c>
      <c r="C9" s="82" t="s">
        <v>195</v>
      </c>
      <c r="D9" s="95">
        <v>350000</v>
      </c>
      <c r="E9" s="88">
        <v>36</v>
      </c>
      <c r="F9" s="2" t="str">
        <f t="shared" si="0"/>
        <v>7-8%</v>
      </c>
      <c r="G9" s="87">
        <f t="shared" si="1"/>
        <v>0.08</v>
      </c>
      <c r="H9" s="96" t="str">
        <f t="shared" si="2"/>
        <v>공기청정기-8%</v>
      </c>
    </row>
    <row r="10" spans="1:8">
      <c r="A10" s="81" t="s">
        <v>199</v>
      </c>
      <c r="E10" s="97"/>
      <c r="F10" s="92"/>
    </row>
    <row r="11" spans="1:8">
      <c r="A11" s="101" t="s">
        <v>92</v>
      </c>
      <c r="B11" s="2">
        <v>0</v>
      </c>
      <c r="C11" s="2">
        <v>12</v>
      </c>
      <c r="D11" s="2">
        <v>24</v>
      </c>
      <c r="E11" s="2">
        <v>36</v>
      </c>
      <c r="F11" s="92"/>
    </row>
    <row r="12" spans="1:8">
      <c r="A12" s="101"/>
      <c r="B12" s="2">
        <v>11</v>
      </c>
      <c r="C12" s="2">
        <v>23</v>
      </c>
      <c r="D12" s="2">
        <v>35</v>
      </c>
      <c r="E12" s="2">
        <v>50</v>
      </c>
      <c r="F12" s="92"/>
    </row>
    <row r="13" spans="1:8">
      <c r="A13" s="2">
        <v>0</v>
      </c>
      <c r="B13" s="89">
        <v>0</v>
      </c>
      <c r="C13" s="89">
        <v>0.02</v>
      </c>
      <c r="D13" s="89">
        <v>0.03</v>
      </c>
      <c r="E13" s="89">
        <v>0.04</v>
      </c>
      <c r="F13" s="92"/>
    </row>
    <row r="14" spans="1:8">
      <c r="A14" s="98">
        <v>50000</v>
      </c>
      <c r="B14" s="89">
        <v>0.02</v>
      </c>
      <c r="C14" s="89">
        <v>0.03</v>
      </c>
      <c r="D14" s="89">
        <v>0.04</v>
      </c>
      <c r="E14" s="89">
        <v>0.05</v>
      </c>
      <c r="F14" s="92"/>
    </row>
    <row r="15" spans="1:8">
      <c r="A15" s="98">
        <v>100000</v>
      </c>
      <c r="B15" s="89">
        <v>0.03</v>
      </c>
      <c r="C15" s="89">
        <v>0.04</v>
      </c>
      <c r="D15" s="89">
        <v>0.05</v>
      </c>
      <c r="E15" s="89">
        <v>0.06</v>
      </c>
      <c r="F15" s="92"/>
    </row>
    <row r="16" spans="1:8">
      <c r="A16" s="98">
        <v>200000</v>
      </c>
      <c r="B16" s="89">
        <v>0.04</v>
      </c>
      <c r="C16" s="89">
        <v>0.05</v>
      </c>
      <c r="D16" s="89">
        <v>0.06</v>
      </c>
      <c r="E16" s="89">
        <v>7.0000000000000007E-2</v>
      </c>
      <c r="F16" s="92"/>
    </row>
    <row r="17" spans="1:6">
      <c r="A17" s="98">
        <v>300000</v>
      </c>
      <c r="B17" s="89">
        <v>0.05</v>
      </c>
      <c r="C17" s="89">
        <v>0.06</v>
      </c>
      <c r="D17" s="89">
        <v>7.0000000000000007E-2</v>
      </c>
      <c r="E17" s="89">
        <v>0.08</v>
      </c>
      <c r="F17" s="92"/>
    </row>
  </sheetData>
  <mergeCells count="1">
    <mergeCell ref="A11:A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출제유형_01_유형1~2</vt:lpstr>
      <vt:lpstr>01_유형3~4</vt:lpstr>
      <vt:lpstr>01_유형5~6</vt:lpstr>
      <vt:lpstr>02_유형1~3</vt:lpstr>
      <vt:lpstr>03_유형1~2</vt:lpstr>
      <vt:lpstr>04_유형1</vt:lpstr>
      <vt:lpstr>대표기출문제_기출1~2</vt:lpstr>
      <vt:lpstr>기출3~4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출판사 길벗</cp:lastModifiedBy>
  <dcterms:created xsi:type="dcterms:W3CDTF">2023-07-13T01:54:17Z</dcterms:created>
  <dcterms:modified xsi:type="dcterms:W3CDTF">2025-12-04T05:58:03Z</dcterms:modified>
</cp:coreProperties>
</file>