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컴활 USB 자료\2026 시나공 컴활1급실기 기본서\"/>
    </mc:Choice>
  </mc:AlternateContent>
  <xr:revisionPtr revIDLastSave="0" documentId="13_ncr:1_{051AB51B-E0D6-4807-B05A-04D565D4F15B}" xr6:coauthVersionLast="47" xr6:coauthVersionMax="47" xr10:uidLastSave="{00000000-0000-0000-0000-000000000000}"/>
  <bookViews>
    <workbookView xWindow="12075" yWindow="1050" windowWidth="26835" windowHeight="16485" tabRatio="970" activeTab="9" xr2:uid="{00000000-000D-0000-FFFF-FFFF00000000}"/>
  </bookViews>
  <sheets>
    <sheet name="실전A형" sheetId="1" r:id="rId1"/>
    <sheet name="실전B형" sheetId="2" r:id="rId2"/>
    <sheet name="실전C형" sheetId="3" r:id="rId3"/>
    <sheet name="실전D형" sheetId="4" r:id="rId4"/>
    <sheet name="실전E형" sheetId="5" r:id="rId5"/>
    <sheet name="실전F형" sheetId="6" r:id="rId6"/>
    <sheet name="실전G형" sheetId="7" r:id="rId7"/>
    <sheet name="실전H형" sheetId="8" r:id="rId8"/>
    <sheet name="실전I형" sheetId="9" r:id="rId9"/>
    <sheet name="실전J형" sheetId="11" r:id="rId10"/>
    <sheet name="25년상시01" sheetId="38" r:id="rId11"/>
    <sheet name="25년상시02" sheetId="39" r:id="rId12"/>
    <sheet name="25년상시03" sheetId="40" r:id="rId13"/>
    <sheet name="25년상시04" sheetId="41" r:id="rId14"/>
    <sheet name="24년상시01" sheetId="34" r:id="rId15"/>
    <sheet name="24년상시02" sheetId="35" r:id="rId16"/>
    <sheet name="24년상시03" sheetId="36" r:id="rId17"/>
    <sheet name="24년상시04" sheetId="37" r:id="rId18"/>
    <sheet name="23년상시01" sheetId="30" r:id="rId19"/>
    <sheet name="23년상시02" sheetId="31" r:id="rId20"/>
  </sheets>
  <functionGroups builtInGroupCount="19"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" i="11" l="1"/>
  <c r="M21" i="11" a="1"/>
  <c r="M21" i="11" s="1"/>
  <c r="N21" i="11" a="1"/>
  <c r="N21" i="11" s="1"/>
  <c r="L21" i="11" a="1"/>
  <c r="L21" i="11" s="1"/>
  <c r="G4" i="30"/>
  <c r="G5" i="30"/>
  <c r="G6" i="30"/>
  <c r="G7" i="30"/>
  <c r="G8" i="30"/>
  <c r="G9" i="30"/>
  <c r="G10" i="30"/>
  <c r="G11" i="30"/>
  <c r="G12" i="30"/>
  <c r="G13" i="30"/>
  <c r="G14" i="30"/>
  <c r="G15" i="30"/>
  <c r="G16" i="30"/>
  <c r="G17" i="30"/>
  <c r="G18" i="30"/>
  <c r="G19" i="30"/>
  <c r="G20" i="30"/>
  <c r="G21" i="30"/>
  <c r="G22" i="30"/>
  <c r="G23" i="30"/>
  <c r="G24" i="30"/>
  <c r="G25" i="30"/>
  <c r="G26" i="30"/>
  <c r="G27" i="30"/>
  <c r="G28" i="30"/>
  <c r="G29" i="30"/>
  <c r="G30" i="30"/>
  <c r="G31" i="30"/>
  <c r="G32" i="30"/>
  <c r="G3" i="30"/>
  <c r="C4" i="37"/>
  <c r="C5" i="37"/>
  <c r="C6" i="37"/>
  <c r="C7" i="37"/>
  <c r="C8" i="37"/>
  <c r="C9" i="37"/>
  <c r="C10" i="37"/>
  <c r="C11" i="37"/>
  <c r="C12" i="37"/>
  <c r="C13" i="37"/>
  <c r="C14" i="37"/>
  <c r="C15" i="37"/>
  <c r="C16" i="37"/>
  <c r="C17" i="37"/>
  <c r="C18" i="37"/>
  <c r="C19" i="37"/>
  <c r="C20" i="37"/>
  <c r="C21" i="37"/>
  <c r="C22" i="37"/>
  <c r="C23" i="37"/>
  <c r="C24" i="37"/>
  <c r="C25" i="37"/>
  <c r="C26" i="37"/>
  <c r="C27" i="37"/>
  <c r="C28" i="37"/>
  <c r="C29" i="37"/>
  <c r="C3" i="37"/>
  <c r="M26" i="36" a="1"/>
  <c r="M26" i="36" s="1"/>
  <c r="N26" i="36" a="1"/>
  <c r="N26" i="36" s="1"/>
  <c r="O26" i="36" a="1"/>
  <c r="O26" i="36" s="1"/>
  <c r="M27" i="36" a="1"/>
  <c r="M27" i="36" s="1"/>
  <c r="N27" i="36" a="1"/>
  <c r="N27" i="36" s="1"/>
  <c r="O27" i="36" a="1"/>
  <c r="O27" i="36" s="1"/>
  <c r="M28" i="36" a="1"/>
  <c r="M28" i="36" s="1"/>
  <c r="N28" i="36" a="1"/>
  <c r="N28" i="36" s="1"/>
  <c r="O28" i="36" a="1"/>
  <c r="O28" i="36" s="1"/>
  <c r="M29" i="36" a="1"/>
  <c r="M29" i="36" s="1"/>
  <c r="N29" i="36" a="1"/>
  <c r="N29" i="36" s="1"/>
  <c r="O29" i="36" a="1"/>
  <c r="O29" i="36" s="1"/>
  <c r="M30" i="36" a="1"/>
  <c r="M30" i="36" s="1"/>
  <c r="N30" i="36" a="1"/>
  <c r="N30" i="36"/>
  <c r="O30" i="36" a="1"/>
  <c r="O30" i="36" s="1"/>
  <c r="N25" i="36" a="1"/>
  <c r="N25" i="36" s="1"/>
  <c r="O25" i="36" a="1"/>
  <c r="O25" i="36" s="1"/>
  <c r="M25" i="36" a="1"/>
  <c r="M25" i="36" s="1"/>
  <c r="J20" i="36"/>
  <c r="J24" i="36"/>
  <c r="J11" i="36"/>
  <c r="J28" i="36"/>
  <c r="J15" i="36"/>
  <c r="J5" i="36"/>
  <c r="J19" i="36"/>
  <c r="J27" i="36"/>
  <c r="J9" i="36"/>
  <c r="J23" i="36"/>
  <c r="J13" i="36"/>
  <c r="J17" i="36"/>
  <c r="J3" i="36"/>
  <c r="J21" i="36"/>
  <c r="J25" i="36"/>
  <c r="J26" i="36"/>
  <c r="J29" i="36"/>
  <c r="J6" i="36"/>
  <c r="J14" i="36"/>
  <c r="J10" i="36"/>
  <c r="J22" i="36"/>
  <c r="J4" i="36"/>
  <c r="J8" i="36"/>
  <c r="J18" i="36"/>
  <c r="J7" i="36"/>
  <c r="J12" i="36"/>
  <c r="J16" i="36"/>
  <c r="A4" i="35" l="1" a="1"/>
  <c r="A4" i="35" s="1"/>
  <c r="A5" i="35" a="1"/>
  <c r="A5" i="35" s="1"/>
  <c r="A6" i="35" a="1"/>
  <c r="A6" i="35" s="1"/>
  <c r="A7" i="35" a="1"/>
  <c r="A7" i="35" s="1"/>
  <c r="A8" i="35" a="1"/>
  <c r="A8" i="35" s="1"/>
  <c r="A9" i="35" a="1"/>
  <c r="A9" i="35" s="1"/>
  <c r="A10" i="35" a="1"/>
  <c r="A10" i="35" s="1"/>
  <c r="A11" i="35" a="1"/>
  <c r="A11" i="35" s="1"/>
  <c r="A12" i="35" a="1"/>
  <c r="A12" i="35" s="1"/>
  <c r="A13" i="35" a="1"/>
  <c r="A13" i="35" s="1"/>
  <c r="A14" i="35" a="1"/>
  <c r="A14" i="35" s="1"/>
  <c r="A15" i="35" a="1"/>
  <c r="A15" i="35" s="1"/>
  <c r="A16" i="35" a="1"/>
  <c r="A16" i="35" s="1"/>
  <c r="A17" i="35" a="1"/>
  <c r="A17" i="35" s="1"/>
  <c r="A18" i="35" a="1"/>
  <c r="A18" i="35" s="1"/>
  <c r="A19" i="35" a="1"/>
  <c r="A19" i="35" s="1"/>
  <c r="A20" i="35" a="1"/>
  <c r="A20" i="35" s="1"/>
  <c r="A21" i="35" a="1"/>
  <c r="A21" i="35" s="1"/>
  <c r="A22" i="35" a="1"/>
  <c r="A22" i="35" s="1"/>
  <c r="A23" i="35" a="1"/>
  <c r="A23" i="35" s="1"/>
  <c r="A24" i="35" a="1"/>
  <c r="A24" i="35" s="1"/>
  <c r="A25" i="35" a="1"/>
  <c r="A25" i="35" s="1"/>
  <c r="A26" i="35" a="1"/>
  <c r="A26" i="35" s="1"/>
  <c r="A27" i="35" a="1"/>
  <c r="A27" i="35" s="1"/>
  <c r="A28" i="35" a="1"/>
  <c r="A28" i="35" s="1"/>
  <c r="A29" i="35" a="1"/>
  <c r="A29" i="35" s="1"/>
  <c r="A30" i="35" a="1"/>
  <c r="A30" i="35" s="1"/>
  <c r="A31" i="35" a="1"/>
  <c r="A31" i="35" s="1"/>
  <c r="A32" i="35" a="1"/>
  <c r="A32" i="35" s="1"/>
  <c r="A33" i="35" a="1"/>
  <c r="A33" i="35"/>
  <c r="A34" i="35" a="1"/>
  <c r="A34" i="35" s="1"/>
  <c r="A35" i="35" a="1"/>
  <c r="A35" i="35" s="1"/>
  <c r="A3" i="35" a="1"/>
  <c r="A3" i="35" s="1"/>
  <c r="I4" i="34"/>
  <c r="N9" i="34"/>
  <c r="O9" i="34"/>
  <c r="N10" i="34"/>
  <c r="O10" i="34"/>
  <c r="N11" i="34"/>
  <c r="O11" i="34"/>
  <c r="N12" i="34"/>
  <c r="O12" i="34"/>
  <c r="N13" i="34"/>
  <c r="O13" i="34"/>
  <c r="N14" i="34"/>
  <c r="O14" i="34"/>
  <c r="N15" i="34"/>
  <c r="O15" i="34"/>
  <c r="N16" i="34"/>
  <c r="O16" i="34"/>
  <c r="M10" i="34"/>
  <c r="M11" i="34"/>
  <c r="M12" i="34"/>
  <c r="M13" i="34"/>
  <c r="M14" i="34"/>
  <c r="M15" i="34"/>
  <c r="M16" i="34"/>
  <c r="M9" i="34"/>
  <c r="K4" i="41"/>
  <c r="L4" i="41"/>
  <c r="M4" i="41"/>
  <c r="L3" i="41"/>
  <c r="M3" i="41"/>
  <c r="K3" i="41"/>
  <c r="I6" i="39" a="1"/>
  <c r="I6" i="39" s="1"/>
  <c r="I7" i="39" a="1"/>
  <c r="I7" i="39" s="1"/>
  <c r="I8" i="39" a="1"/>
  <c r="I8" i="39" s="1"/>
  <c r="I9" i="39" a="1"/>
  <c r="I9" i="39" s="1"/>
  <c r="I10" i="39" a="1"/>
  <c r="I10" i="39" s="1"/>
  <c r="I11" i="39" a="1"/>
  <c r="I11" i="39" s="1"/>
  <c r="I12" i="39" a="1"/>
  <c r="I12" i="39" s="1"/>
  <c r="I5" i="39" a="1"/>
  <c r="I5" i="39" s="1"/>
  <c r="M22" i="38"/>
  <c r="N22" i="38"/>
  <c r="L22" i="38"/>
  <c r="L17" i="11" a="1"/>
  <c r="L17" i="11" s="1"/>
  <c r="M17" i="11" a="1"/>
  <c r="M17" i="11" s="1"/>
  <c r="K17" i="11" a="1"/>
  <c r="K17" i="11" s="1"/>
  <c r="F26" i="6"/>
  <c r="B24" i="6" a="1"/>
  <c r="B24" i="6" s="1"/>
  <c r="B26" i="6" a="1"/>
  <c r="B26" i="6" s="1"/>
  <c r="B25" i="6" a="1"/>
  <c r="B25" i="6" s="1"/>
  <c r="C41" i="5" a="1"/>
  <c r="C41" i="5" s="1"/>
  <c r="C42" i="5" a="1"/>
  <c r="C42" i="5" s="1"/>
  <c r="C43" i="5" a="1"/>
  <c r="C43" i="5" s="1"/>
  <c r="B41" i="5" a="1"/>
  <c r="B41" i="5" s="1"/>
  <c r="B42" i="5" a="1"/>
  <c r="B42" i="5" s="1"/>
  <c r="B43" i="5" a="1"/>
  <c r="B43" i="5" s="1"/>
  <c r="C4" i="4" a="1"/>
  <c r="C4" i="4" s="1"/>
  <c r="C5" i="4" a="1"/>
  <c r="C5" i="4" s="1"/>
  <c r="C3" i="4" a="1"/>
  <c r="C3" i="4" s="1"/>
  <c r="F16" i="3" a="1"/>
  <c r="F16" i="3" s="1"/>
  <c r="F17" i="3" a="1"/>
  <c r="F17" i="3" s="1"/>
  <c r="F15" i="3" a="1"/>
  <c r="F15" i="3" s="1"/>
  <c r="B33" i="2" a="1"/>
  <c r="B33" i="2" s="1"/>
  <c r="B34" i="2" a="1"/>
  <c r="B34" i="2"/>
  <c r="B35" i="2" a="1"/>
  <c r="B35" i="2" s="1"/>
  <c r="B32" i="2" a="1"/>
  <c r="B32" i="2" s="1"/>
  <c r="F4" i="2"/>
  <c r="F5" i="2"/>
  <c r="F6" i="2"/>
  <c r="F7" i="2"/>
  <c r="F8" i="2"/>
  <c r="F9" i="2"/>
  <c r="F10" i="2"/>
  <c r="F3" i="2"/>
  <c r="B3" i="1"/>
  <c r="B4" i="1"/>
  <c r="B5" i="1"/>
  <c r="F4" i="1" a="1"/>
  <c r="F4" i="1" s="1"/>
  <c r="F5" i="1" a="1"/>
  <c r="F5" i="1" s="1"/>
  <c r="F6" i="1" a="1"/>
  <c r="F6" i="1" s="1"/>
  <c r="F3" i="1" a="1"/>
  <c r="F3" i="1" s="1"/>
  <c r="K22" i="39"/>
  <c r="K21" i="39"/>
  <c r="K17" i="39"/>
  <c r="K16" i="39"/>
  <c r="K23" i="39"/>
  <c r="K19" i="39"/>
  <c r="K18" i="39"/>
  <c r="K20" i="39"/>
  <c r="H10" i="2" l="1" a="1"/>
  <c r="H10" i="2" s="1"/>
  <c r="H5" i="2" a="1"/>
  <c r="H5" i="2" s="1"/>
  <c r="H9" i="2" a="1"/>
  <c r="H9" i="2" s="1"/>
  <c r="H8" i="2" a="1"/>
  <c r="H8" i="2" s="1"/>
  <c r="H7" i="2" a="1"/>
  <c r="H7" i="2" s="1"/>
  <c r="H3" i="2" a="1"/>
  <c r="H3" i="2" s="1"/>
  <c r="H6" i="2" a="1"/>
  <c r="H6" i="2" s="1"/>
  <c r="H4" i="2" a="1"/>
  <c r="H4" i="2" s="1"/>
  <c r="I3" i="30"/>
  <c r="H37" i="30" a="1"/>
  <c r="H37" i="30" s="1"/>
  <c r="I37" i="30" a="1"/>
  <c r="I37" i="30" s="1"/>
  <c r="J37" i="30" a="1"/>
  <c r="J37" i="30" s="1"/>
  <c r="H38" i="30" a="1"/>
  <c r="H38" i="30" s="1"/>
  <c r="I38" i="30" a="1"/>
  <c r="I38" i="30" s="1"/>
  <c r="J38" i="30" a="1"/>
  <c r="J38" i="30" s="1"/>
  <c r="H39" i="30" a="1"/>
  <c r="H39" i="30" s="1"/>
  <c r="I39" i="30" a="1"/>
  <c r="I39" i="30" s="1"/>
  <c r="J39" i="30" a="1"/>
  <c r="J39" i="30" s="1"/>
  <c r="I36" i="30" a="1"/>
  <c r="I36" i="30" s="1"/>
  <c r="J36" i="30" a="1"/>
  <c r="J36" i="30" s="1"/>
  <c r="H36" i="30" a="1"/>
  <c r="H36" i="30" s="1"/>
  <c r="B45" i="30" a="1"/>
  <c r="B45" i="30" s="1"/>
  <c r="C45" i="30" a="1"/>
  <c r="C45" i="30" s="1"/>
  <c r="D45" i="30" a="1"/>
  <c r="D45" i="30" s="1"/>
  <c r="E45" i="30" a="1"/>
  <c r="E45" i="30" s="1"/>
  <c r="B46" i="30" a="1"/>
  <c r="B46" i="30" s="1"/>
  <c r="C46" i="30" a="1"/>
  <c r="C46" i="30" s="1"/>
  <c r="D46" i="30" a="1"/>
  <c r="D46" i="30" s="1"/>
  <c r="E46" i="30" a="1"/>
  <c r="E46" i="30" s="1"/>
  <c r="C44" i="30" a="1"/>
  <c r="C44" i="30" s="1"/>
  <c r="D44" i="30" a="1"/>
  <c r="D44" i="30" s="1"/>
  <c r="E44" i="30" a="1"/>
  <c r="E44" i="30" s="1"/>
  <c r="B44" i="30" a="1"/>
  <c r="B44" i="30" s="1"/>
  <c r="H4" i="30"/>
  <c r="H5" i="30"/>
  <c r="H6" i="30"/>
  <c r="H7" i="30"/>
  <c r="H8" i="30"/>
  <c r="H9" i="30"/>
  <c r="H10" i="30"/>
  <c r="H11" i="30"/>
  <c r="H12" i="30"/>
  <c r="H13" i="30"/>
  <c r="H14" i="30"/>
  <c r="H15" i="30"/>
  <c r="H16" i="30"/>
  <c r="H17" i="30"/>
  <c r="H18" i="30"/>
  <c r="H19" i="30"/>
  <c r="H20" i="30"/>
  <c r="H21" i="30"/>
  <c r="H22" i="30"/>
  <c r="H23" i="30"/>
  <c r="H24" i="30"/>
  <c r="H25" i="30"/>
  <c r="H26" i="30"/>
  <c r="H27" i="30"/>
  <c r="H28" i="30"/>
  <c r="H29" i="30"/>
  <c r="H30" i="30"/>
  <c r="H31" i="30"/>
  <c r="H32" i="30"/>
  <c r="H3" i="30"/>
  <c r="M17" i="37" a="1"/>
  <c r="M17" i="37" s="1"/>
  <c r="N17" i="37" a="1"/>
  <c r="N17" i="37" s="1"/>
  <c r="N16" i="37" a="1"/>
  <c r="N16" i="37" s="1"/>
  <c r="M16" i="37" a="1"/>
  <c r="M16" i="37" s="1"/>
  <c r="N9" i="37" a="1"/>
  <c r="N9" i="37" s="1"/>
  <c r="G5" i="37"/>
  <c r="G6" i="37"/>
  <c r="G7" i="37"/>
  <c r="G8" i="37"/>
  <c r="G9" i="37"/>
  <c r="G10" i="37"/>
  <c r="G11" i="37"/>
  <c r="G12" i="37"/>
  <c r="G13" i="37"/>
  <c r="G14" i="37"/>
  <c r="G15" i="37"/>
  <c r="G16" i="37"/>
  <c r="G17" i="37"/>
  <c r="G18" i="37"/>
  <c r="G19" i="37"/>
  <c r="G20" i="37"/>
  <c r="G21" i="37"/>
  <c r="G22" i="37"/>
  <c r="G23" i="37"/>
  <c r="G24" i="37"/>
  <c r="G25" i="37"/>
  <c r="G26" i="37"/>
  <c r="G27" i="37"/>
  <c r="G28" i="37"/>
  <c r="G29" i="37"/>
  <c r="G4" i="37"/>
  <c r="G3" i="37"/>
  <c r="I18" i="37"/>
  <c r="I28" i="37"/>
  <c r="I15" i="37"/>
  <c r="I21" i="37"/>
  <c r="I7" i="37"/>
  <c r="I5" i="37"/>
  <c r="I27" i="37"/>
  <c r="I19" i="37"/>
  <c r="I13" i="37"/>
  <c r="I6" i="37"/>
  <c r="I16" i="37"/>
  <c r="I26" i="37"/>
  <c r="I14" i="37"/>
  <c r="I20" i="37"/>
  <c r="I25" i="37"/>
  <c r="I24" i="37"/>
  <c r="I11" i="37"/>
  <c r="I8" i="37"/>
  <c r="I23" i="37"/>
  <c r="I29" i="37"/>
  <c r="I22" i="37"/>
  <c r="I17" i="37"/>
  <c r="I3" i="37"/>
  <c r="I10" i="37"/>
  <c r="I9" i="37"/>
  <c r="I4" i="37"/>
  <c r="I12" i="37"/>
  <c r="N12" i="37" l="1"/>
  <c r="N11" i="37"/>
  <c r="N10" i="37"/>
  <c r="I12" i="31" a="1"/>
  <c r="I12" i="31" s="1"/>
  <c r="H8" i="31" a="1"/>
  <c r="H8" i="31" s="1"/>
  <c r="H4" i="31" a="1"/>
  <c r="H4" i="31" s="1"/>
  <c r="H5" i="31" a="1"/>
  <c r="H5" i="31" s="1"/>
  <c r="H6" i="31" a="1"/>
  <c r="H6" i="31" s="1"/>
  <c r="H7" i="31" a="1"/>
  <c r="H7" i="31" s="1"/>
  <c r="H3" i="31" a="1"/>
  <c r="H3" i="31" s="1"/>
  <c r="F13" i="31"/>
  <c r="F14" i="31"/>
  <c r="F15" i="31"/>
  <c r="F16" i="31"/>
  <c r="F17" i="31"/>
  <c r="F18" i="31"/>
  <c r="F19" i="31"/>
  <c r="F20" i="31"/>
  <c r="F21" i="31"/>
  <c r="F22" i="31"/>
  <c r="F23" i="31"/>
  <c r="F24" i="31"/>
  <c r="F25" i="31"/>
  <c r="F26" i="31"/>
  <c r="F27" i="31"/>
  <c r="F28" i="31"/>
  <c r="F29" i="31"/>
  <c r="F30" i="31"/>
  <c r="F31" i="31"/>
  <c r="F32" i="31"/>
  <c r="F33" i="31"/>
  <c r="F34" i="31"/>
  <c r="F35" i="31"/>
  <c r="F12" i="31"/>
  <c r="N11" i="36" a="1"/>
  <c r="N11" i="36" s="1"/>
  <c r="N12" i="36" a="1"/>
  <c r="N12" i="36" s="1"/>
  <c r="N13" i="36" a="1"/>
  <c r="N13" i="36" s="1"/>
  <c r="N14" i="36" a="1"/>
  <c r="N14" i="36" s="1"/>
  <c r="N10" i="36" a="1"/>
  <c r="N10" i="36" s="1"/>
  <c r="F4" i="36"/>
  <c r="F5" i="36"/>
  <c r="F6" i="36"/>
  <c r="F7" i="36"/>
  <c r="F8" i="36"/>
  <c r="F9" i="36"/>
  <c r="F10" i="36"/>
  <c r="F11" i="36"/>
  <c r="F12" i="36"/>
  <c r="F13" i="36"/>
  <c r="F14" i="36"/>
  <c r="F15" i="36"/>
  <c r="F16" i="36"/>
  <c r="F17" i="36"/>
  <c r="F18" i="36"/>
  <c r="F19" i="36"/>
  <c r="F20" i="36"/>
  <c r="F21" i="36"/>
  <c r="F22" i="36"/>
  <c r="F23" i="36"/>
  <c r="F24" i="36"/>
  <c r="F25" i="36"/>
  <c r="F26" i="36"/>
  <c r="F27" i="36"/>
  <c r="F28" i="36"/>
  <c r="F29" i="36"/>
  <c r="F3" i="36"/>
  <c r="H5" i="35"/>
  <c r="H6" i="35"/>
  <c r="H7" i="35"/>
  <c r="H8" i="35"/>
  <c r="H9" i="35"/>
  <c r="H10" i="35"/>
  <c r="H11" i="35"/>
  <c r="H12" i="35"/>
  <c r="H13" i="35"/>
  <c r="H14" i="35"/>
  <c r="H15" i="35"/>
  <c r="H16" i="35"/>
  <c r="H17" i="35"/>
  <c r="H18" i="35"/>
  <c r="H19" i="35"/>
  <c r="H20" i="35"/>
  <c r="H21" i="35"/>
  <c r="H22" i="35"/>
  <c r="H23" i="35"/>
  <c r="H24" i="35"/>
  <c r="H25" i="35"/>
  <c r="H26" i="35"/>
  <c r="H27" i="35"/>
  <c r="H28" i="35"/>
  <c r="H29" i="35"/>
  <c r="H30" i="35"/>
  <c r="H31" i="35"/>
  <c r="H32" i="35"/>
  <c r="H33" i="35"/>
  <c r="H34" i="35"/>
  <c r="H35" i="35"/>
  <c r="H4" i="35"/>
  <c r="H3" i="35"/>
  <c r="M21" i="35"/>
  <c r="M11" i="35"/>
  <c r="M33" i="35"/>
  <c r="M6" i="35"/>
  <c r="M7" i="35"/>
  <c r="M5" i="35"/>
  <c r="M17" i="35"/>
  <c r="M32" i="35"/>
  <c r="M9" i="35"/>
  <c r="M34" i="35"/>
  <c r="M10" i="35"/>
  <c r="M29" i="35"/>
  <c r="M19" i="35"/>
  <c r="M12" i="35"/>
  <c r="M15" i="35"/>
  <c r="M23" i="35"/>
  <c r="M4" i="35"/>
  <c r="M24" i="35"/>
  <c r="M8" i="35"/>
  <c r="M22" i="35"/>
  <c r="M20" i="35"/>
  <c r="M27" i="35"/>
  <c r="M14" i="35"/>
  <c r="M18" i="35"/>
  <c r="M16" i="35"/>
  <c r="M35" i="35"/>
  <c r="M31" i="35"/>
  <c r="M28" i="35"/>
  <c r="M25" i="35"/>
  <c r="M13" i="35"/>
  <c r="M30" i="35"/>
  <c r="M3" i="35"/>
  <c r="M26" i="35"/>
  <c r="L21" i="34" l="1" a="1"/>
  <c r="L21" i="34" s="1"/>
  <c r="L20" i="34" a="1"/>
  <c r="L20" i="34" s="1"/>
  <c r="L10" i="34" a="1"/>
  <c r="L10" i="34" s="1"/>
  <c r="L11" i="34" a="1"/>
  <c r="L11" i="34" s="1"/>
  <c r="L12" i="34" a="1"/>
  <c r="L12" i="34" s="1"/>
  <c r="L13" i="34" a="1"/>
  <c r="L13" i="34" s="1"/>
  <c r="L14" i="34" a="1"/>
  <c r="L14" i="34" s="1"/>
  <c r="L15" i="34" a="1"/>
  <c r="L15" i="34" s="1"/>
  <c r="L16" i="34" a="1"/>
  <c r="L16" i="34" s="1"/>
  <c r="L9" i="34" a="1"/>
  <c r="L9" i="34" s="1"/>
  <c r="L4" i="34"/>
  <c r="L5" i="34" a="1"/>
  <c r="L5" i="34" s="1"/>
  <c r="K10" i="41" l="1" a="1"/>
  <c r="K10" i="41" s="1"/>
  <c r="K11" i="41" a="1"/>
  <c r="K11" i="41" s="1"/>
  <c r="K12" i="41" a="1"/>
  <c r="K12" i="41" s="1"/>
  <c r="K13" i="41" a="1"/>
  <c r="K13" i="41" s="1"/>
  <c r="K14" i="41" a="1"/>
  <c r="K14" i="41" s="1"/>
  <c r="K15" i="41" a="1"/>
  <c r="K15" i="41" s="1"/>
  <c r="K16" i="41" a="1"/>
  <c r="K16" i="41" s="1"/>
  <c r="K17" i="41" a="1"/>
  <c r="K17" i="41" s="1"/>
  <c r="K9" i="41" a="1"/>
  <c r="K9" i="41" s="1"/>
  <c r="H4" i="41"/>
  <c r="H5" i="41"/>
  <c r="H6" i="41"/>
  <c r="H7" i="41"/>
  <c r="H8" i="41"/>
  <c r="H9" i="41"/>
  <c r="H10" i="41"/>
  <c r="H11" i="41"/>
  <c r="H12" i="41"/>
  <c r="H13" i="41"/>
  <c r="H14" i="41"/>
  <c r="H15" i="41"/>
  <c r="H16" i="41"/>
  <c r="H17" i="41"/>
  <c r="H18" i="41"/>
  <c r="H19" i="41"/>
  <c r="H20" i="41"/>
  <c r="H21" i="41"/>
  <c r="H22" i="41"/>
  <c r="H23" i="41"/>
  <c r="H24" i="41"/>
  <c r="H25" i="41"/>
  <c r="H3" i="41"/>
  <c r="J5" i="40"/>
  <c r="J6" i="40"/>
  <c r="J7" i="40"/>
  <c r="J8" i="40"/>
  <c r="J9" i="40"/>
  <c r="J10" i="40"/>
  <c r="J11" i="40"/>
  <c r="J12" i="40"/>
  <c r="J13" i="40"/>
  <c r="J14" i="40"/>
  <c r="J15" i="40"/>
  <c r="J16" i="40"/>
  <c r="J17" i="40"/>
  <c r="J18" i="40"/>
  <c r="J19" i="40"/>
  <c r="J20" i="40"/>
  <c r="J21" i="40"/>
  <c r="J22" i="40"/>
  <c r="J23" i="40"/>
  <c r="J24" i="40"/>
  <c r="J25" i="40"/>
  <c r="J26" i="40"/>
  <c r="J27" i="40"/>
  <c r="J28" i="40"/>
  <c r="J29" i="40"/>
  <c r="J30" i="40"/>
  <c r="J31" i="40"/>
  <c r="J32" i="40"/>
  <c r="J33" i="40"/>
  <c r="J34" i="40"/>
  <c r="J35" i="40"/>
  <c r="J36" i="40"/>
  <c r="J37" i="40"/>
  <c r="J38" i="40"/>
  <c r="J39" i="40"/>
  <c r="J40" i="40"/>
  <c r="J41" i="40"/>
  <c r="J42" i="40"/>
  <c r="J43" i="40"/>
  <c r="J4" i="40"/>
  <c r="I5" i="40"/>
  <c r="I6" i="40"/>
  <c r="I7" i="40"/>
  <c r="I8" i="40"/>
  <c r="I9" i="40"/>
  <c r="I10" i="40"/>
  <c r="I11" i="40"/>
  <c r="I12" i="40"/>
  <c r="I13" i="40"/>
  <c r="I14" i="40"/>
  <c r="I15" i="40"/>
  <c r="I16" i="40"/>
  <c r="I17" i="40"/>
  <c r="I18" i="40"/>
  <c r="I19" i="40"/>
  <c r="I20" i="40"/>
  <c r="I21" i="40"/>
  <c r="I22" i="40"/>
  <c r="I23" i="40"/>
  <c r="I24" i="40"/>
  <c r="I25" i="40"/>
  <c r="I26" i="40"/>
  <c r="I27" i="40"/>
  <c r="I28" i="40"/>
  <c r="I29" i="40"/>
  <c r="I30" i="40"/>
  <c r="I31" i="40"/>
  <c r="I32" i="40"/>
  <c r="I33" i="40"/>
  <c r="I34" i="40"/>
  <c r="I35" i="40"/>
  <c r="I36" i="40"/>
  <c r="I37" i="40"/>
  <c r="I38" i="40"/>
  <c r="I39" i="40"/>
  <c r="I40" i="40"/>
  <c r="I41" i="40"/>
  <c r="I42" i="40"/>
  <c r="I43" i="40"/>
  <c r="I4" i="40"/>
  <c r="J17" i="39"/>
  <c r="J18" i="39"/>
  <c r="J19" i="39"/>
  <c r="J20" i="39"/>
  <c r="J21" i="39"/>
  <c r="J22" i="39"/>
  <c r="J23" i="39"/>
  <c r="J16" i="39"/>
  <c r="H16" i="39"/>
  <c r="H17" i="39"/>
  <c r="H18" i="39"/>
  <c r="H19" i="39"/>
  <c r="H20" i="39"/>
  <c r="H21" i="39"/>
  <c r="H22" i="39"/>
  <c r="H23" i="39"/>
  <c r="G16" i="39"/>
  <c r="G17" i="39"/>
  <c r="G18" i="39"/>
  <c r="G19" i="39"/>
  <c r="G20" i="39"/>
  <c r="G21" i="39"/>
  <c r="G22" i="39"/>
  <c r="G23" i="39"/>
  <c r="F17" i="39"/>
  <c r="F18" i="39"/>
  <c r="F19" i="39"/>
  <c r="F20" i="39"/>
  <c r="F21" i="39"/>
  <c r="F22" i="39"/>
  <c r="F23" i="39"/>
  <c r="F16" i="39"/>
  <c r="T16" i="39"/>
  <c r="U16" i="39"/>
  <c r="J5" i="38"/>
  <c r="J6" i="38"/>
  <c r="J7" i="38"/>
  <c r="J8" i="38"/>
  <c r="J9" i="38"/>
  <c r="J10" i="38"/>
  <c r="J11" i="38"/>
  <c r="J12" i="38"/>
  <c r="J13" i="38"/>
  <c r="J14" i="38"/>
  <c r="J15" i="38"/>
  <c r="J16" i="38"/>
  <c r="J17" i="38"/>
  <c r="J18" i="38"/>
  <c r="J19" i="38"/>
  <c r="J20" i="38"/>
  <c r="J21" i="38"/>
  <c r="J22" i="38"/>
  <c r="J23" i="38"/>
  <c r="J4" i="38"/>
  <c r="C5" i="38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4" i="38"/>
  <c r="G8" i="41"/>
  <c r="B17" i="40"/>
  <c r="H19" i="38"/>
  <c r="G16" i="41"/>
  <c r="G10" i="41"/>
  <c r="G3" i="41"/>
  <c r="B30" i="40"/>
  <c r="H13" i="38"/>
  <c r="G18" i="41"/>
  <c r="G9" i="41"/>
  <c r="B4" i="40"/>
  <c r="G11" i="41"/>
  <c r="B34" i="40"/>
  <c r="B25" i="40"/>
  <c r="B22" i="40"/>
  <c r="G20" i="41"/>
  <c r="B31" i="40"/>
  <c r="B38" i="40"/>
  <c r="H16" i="38"/>
  <c r="G14" i="41"/>
  <c r="H11" i="38"/>
  <c r="B33" i="40"/>
  <c r="G7" i="41"/>
  <c r="B13" i="40"/>
  <c r="B9" i="40"/>
  <c r="G6" i="41"/>
  <c r="B42" i="40"/>
  <c r="H15" i="38"/>
  <c r="B35" i="40"/>
  <c r="B10" i="40"/>
  <c r="H23" i="38"/>
  <c r="B12" i="40"/>
  <c r="B26" i="40"/>
  <c r="H12" i="38"/>
  <c r="B43" i="40"/>
  <c r="H5" i="38"/>
  <c r="H22" i="38"/>
  <c r="B19" i="40"/>
  <c r="B24" i="40"/>
  <c r="G17" i="41"/>
  <c r="H10" i="38"/>
  <c r="B23" i="40"/>
  <c r="B28" i="40"/>
  <c r="B16" i="40"/>
  <c r="H4" i="38"/>
  <c r="H18" i="38"/>
  <c r="B32" i="40"/>
  <c r="B6" i="40"/>
  <c r="B29" i="40"/>
  <c r="G25" i="41"/>
  <c r="B21" i="40"/>
  <c r="B14" i="40"/>
  <c r="G19" i="41"/>
  <c r="B36" i="40"/>
  <c r="G15" i="41"/>
  <c r="B7" i="40"/>
  <c r="H7" i="38"/>
  <c r="G12" i="41"/>
  <c r="B15" i="40"/>
  <c r="B41" i="40"/>
  <c r="H21" i="38"/>
  <c r="G21" i="41"/>
  <c r="B27" i="40"/>
  <c r="B37" i="40"/>
  <c r="B20" i="40"/>
  <c r="H9" i="38"/>
  <c r="B8" i="40"/>
  <c r="G5" i="41"/>
  <c r="H14" i="38"/>
  <c r="B18" i="40"/>
  <c r="H6" i="38"/>
  <c r="B40" i="40"/>
  <c r="H20" i="38"/>
  <c r="G23" i="41"/>
  <c r="G24" i="41"/>
  <c r="H8" i="38"/>
  <c r="G22" i="41"/>
  <c r="B5" i="40"/>
  <c r="G4" i="41"/>
  <c r="H17" i="38"/>
  <c r="B39" i="40"/>
  <c r="B11" i="40"/>
  <c r="G13" i="41"/>
  <c r="D13" i="4" l="1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12" i="4"/>
  <c r="E40" i="1"/>
  <c r="E41" i="1"/>
  <c r="E42" i="1"/>
  <c r="E43" i="1"/>
  <c r="E44" i="1"/>
  <c r="E45" i="1"/>
  <c r="E46" i="1"/>
  <c r="E39" i="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3" i="11"/>
  <c r="B22" i="9"/>
  <c r="G10" i="9"/>
  <c r="G11" i="9"/>
  <c r="G12" i="9"/>
  <c r="G13" i="9"/>
  <c r="G14" i="9"/>
  <c r="G15" i="9"/>
  <c r="G16" i="9"/>
  <c r="G17" i="9"/>
  <c r="G18" i="9"/>
  <c r="G9" i="9"/>
  <c r="D10" i="9"/>
  <c r="D11" i="9"/>
  <c r="D12" i="9"/>
  <c r="D13" i="9"/>
  <c r="D14" i="9"/>
  <c r="D15" i="9"/>
  <c r="D16" i="9"/>
  <c r="D17" i="9"/>
  <c r="D18" i="9"/>
  <c r="D9" i="9"/>
  <c r="B4" i="9" a="1"/>
  <c r="B4" i="9" s="1"/>
  <c r="C4" i="9" a="1"/>
  <c r="C4" i="9" s="1"/>
  <c r="D4" i="9" a="1"/>
  <c r="D4" i="9" s="1"/>
  <c r="E4" i="9" a="1"/>
  <c r="E4" i="9" s="1"/>
  <c r="B5" i="9" a="1"/>
  <c r="B5" i="9" s="1"/>
  <c r="C5" i="9" a="1"/>
  <c r="C5" i="9" s="1"/>
  <c r="D5" i="9" a="1"/>
  <c r="D5" i="9" s="1"/>
  <c r="E5" i="9" a="1"/>
  <c r="E5" i="9" s="1"/>
  <c r="C3" i="9" a="1"/>
  <c r="C3" i="9" s="1"/>
  <c r="D3" i="9" a="1"/>
  <c r="D3" i="9" s="1"/>
  <c r="E3" i="9" a="1"/>
  <c r="E3" i="9" s="1"/>
  <c r="B3" i="9" a="1"/>
  <c r="B3" i="9" s="1"/>
  <c r="B20" i="8" a="1"/>
  <c r="B20" i="8" s="1"/>
  <c r="B21" i="8" a="1"/>
  <c r="B21" i="8" s="1"/>
  <c r="B22" i="8" a="1"/>
  <c r="B22" i="8" s="1"/>
  <c r="B19" i="8" a="1"/>
  <c r="B19" i="8" s="1"/>
  <c r="J4" i="7"/>
  <c r="J5" i="7"/>
  <c r="J6" i="7"/>
  <c r="J7" i="7"/>
  <c r="J8" i="7"/>
  <c r="J9" i="7"/>
  <c r="J10" i="7"/>
  <c r="J11" i="7"/>
  <c r="J3" i="7"/>
  <c r="D4" i="7" a="1"/>
  <c r="D4" i="7" s="1"/>
  <c r="D5" i="7" a="1"/>
  <c r="D5" i="7" s="1"/>
  <c r="D6" i="7" a="1"/>
  <c r="D6" i="7" s="1"/>
  <c r="D3" i="7" a="1"/>
  <c r="D3" i="7" s="1"/>
  <c r="C3" i="7" a="1"/>
  <c r="C3" i="7" s="1"/>
  <c r="C4" i="7" a="1"/>
  <c r="C4" i="7" s="1"/>
  <c r="C5" i="7" a="1"/>
  <c r="C5" i="7" s="1"/>
  <c r="C6" i="7" a="1"/>
  <c r="C6" i="7" s="1"/>
  <c r="B4" i="7" a="1"/>
  <c r="B4" i="7" s="1"/>
  <c r="B5" i="7" a="1"/>
  <c r="B5" i="7" s="1"/>
  <c r="B6" i="7" a="1"/>
  <c r="B6" i="7" s="1"/>
  <c r="B3" i="7" a="1"/>
  <c r="B3" i="7" s="1"/>
  <c r="F4" i="6"/>
  <c r="F5" i="6"/>
  <c r="F6" i="6"/>
  <c r="F7" i="6"/>
  <c r="F8" i="6"/>
  <c r="F3" i="6"/>
  <c r="E4" i="6"/>
  <c r="E5" i="6"/>
  <c r="E6" i="6"/>
  <c r="E7" i="6"/>
  <c r="E8" i="6"/>
  <c r="E3" i="6"/>
  <c r="F11" i="8"/>
  <c r="E16" i="6"/>
  <c r="K7" i="7"/>
  <c r="H11" i="11"/>
  <c r="H7" i="11"/>
  <c r="I14" i="9"/>
  <c r="I9" i="9"/>
  <c r="H4" i="11"/>
  <c r="H8" i="11"/>
  <c r="K3" i="7"/>
  <c r="F8" i="8"/>
  <c r="H3" i="11"/>
  <c r="F5" i="8"/>
  <c r="E20" i="6"/>
  <c r="F7" i="8"/>
  <c r="F6" i="8"/>
  <c r="H12" i="11"/>
  <c r="H9" i="11"/>
  <c r="K11" i="7"/>
  <c r="K6" i="7"/>
  <c r="F4" i="8"/>
  <c r="H21" i="11"/>
  <c r="I10" i="9"/>
  <c r="E13" i="6"/>
  <c r="F3" i="8"/>
  <c r="F9" i="8"/>
  <c r="F10" i="8"/>
  <c r="E14" i="6"/>
  <c r="H15" i="11"/>
  <c r="I11" i="9"/>
  <c r="K4" i="7"/>
  <c r="H16" i="11"/>
  <c r="I17" i="9"/>
  <c r="E17" i="6"/>
  <c r="H6" i="11"/>
  <c r="E19" i="6"/>
  <c r="H14" i="11"/>
  <c r="E18" i="6"/>
  <c r="K8" i="7"/>
  <c r="K10" i="7"/>
  <c r="H18" i="11"/>
  <c r="H10" i="11"/>
  <c r="H17" i="11"/>
  <c r="H5" i="11"/>
  <c r="I16" i="9"/>
  <c r="H22" i="11"/>
  <c r="E15" i="6"/>
  <c r="H19" i="11"/>
  <c r="I15" i="9"/>
  <c r="I18" i="9"/>
  <c r="H13" i="11"/>
  <c r="E12" i="6"/>
  <c r="K5" i="7"/>
  <c r="H20" i="11"/>
  <c r="I13" i="9"/>
  <c r="H23" i="11"/>
  <c r="I12" i="9"/>
  <c r="K9" i="7"/>
  <c r="H17" i="7" l="1" a="1"/>
  <c r="H17" i="7" s="1"/>
  <c r="H16" i="7" a="1"/>
  <c r="H16" i="7" s="1"/>
  <c r="C20" i="8" a="1"/>
  <c r="C20" i="8" s="1"/>
  <c r="C19" i="8" a="1"/>
  <c r="C19" i="8" s="1"/>
  <c r="C22" i="8" a="1"/>
  <c r="C21" i="8" a="1"/>
  <c r="C21" i="8" s="1"/>
  <c r="H20" i="7" a="1"/>
  <c r="H20" i="7" s="1"/>
  <c r="H19" i="7" a="1"/>
  <c r="H19" i="7" s="1"/>
  <c r="H18" i="7" a="1"/>
  <c r="H18" i="7" s="1"/>
  <c r="D24" i="6" a="1"/>
  <c r="D24" i="6" s="1"/>
  <c r="G3" i="8"/>
  <c r="G7" i="8"/>
  <c r="G10" i="8"/>
  <c r="E19" i="8"/>
  <c r="G6" i="8"/>
  <c r="G9" i="8"/>
  <c r="G5" i="8"/>
  <c r="G11" i="8"/>
  <c r="G8" i="8"/>
  <c r="G4" i="8"/>
  <c r="C22" i="8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10" i="5"/>
  <c r="B4" i="4" a="1"/>
  <c r="B4" i="4" s="1"/>
  <c r="B5" i="4" a="1"/>
  <c r="B5" i="4" s="1"/>
  <c r="B3" i="4" a="1"/>
  <c r="B3" i="4" s="1"/>
  <c r="G16" i="3" a="1"/>
  <c r="G16" i="3" s="1"/>
  <c r="G17" i="3" a="1"/>
  <c r="G17" i="3" s="1"/>
  <c r="G15" i="3" a="1"/>
  <c r="G15" i="3" s="1"/>
  <c r="F4" i="3"/>
  <c r="F5" i="3"/>
  <c r="F6" i="3"/>
  <c r="F7" i="3"/>
  <c r="F8" i="3"/>
  <c r="F9" i="3"/>
  <c r="F10" i="3"/>
  <c r="F11" i="3"/>
  <c r="F3" i="3"/>
  <c r="G5" i="2"/>
  <c r="G4" i="2"/>
  <c r="G6" i="2"/>
  <c r="G7" i="2"/>
  <c r="G8" i="2"/>
  <c r="G9" i="2"/>
  <c r="G10" i="2"/>
  <c r="G3" i="2"/>
  <c r="G24" i="2"/>
  <c r="G10" i="3"/>
  <c r="G23" i="2"/>
  <c r="G28" i="2"/>
  <c r="G5" i="3"/>
  <c r="G8" i="3"/>
  <c r="G4" i="3"/>
  <c r="G21" i="2"/>
  <c r="G7" i="3"/>
  <c r="G25" i="2"/>
  <c r="G26" i="2"/>
  <c r="G27" i="2"/>
  <c r="G3" i="3"/>
  <c r="G29" i="2"/>
  <c r="G9" i="3"/>
  <c r="G6" i="3"/>
  <c r="G22" i="2"/>
  <c r="G11" i="3"/>
  <c r="B6" i="5" l="1" a="1"/>
  <c r="B6" i="5" s="1"/>
  <c r="C4" i="5" a="1"/>
  <c r="C4" i="5" s="1"/>
  <c r="B4" i="5" a="1"/>
  <c r="B4" i="5" s="1"/>
  <c r="B5" i="5" a="1"/>
  <c r="B5" i="5" s="1"/>
  <c r="C6" i="5" a="1"/>
  <c r="C6" i="5" s="1"/>
  <c r="C5" i="5" a="1"/>
  <c r="C5" i="5" s="1"/>
  <c r="I6" i="3"/>
  <c r="I8" i="3"/>
  <c r="I3" i="3"/>
  <c r="I9" i="3"/>
  <c r="I4" i="3"/>
  <c r="I10" i="3"/>
  <c r="I11" i="3"/>
  <c r="I7" i="3"/>
  <c r="I5" i="3"/>
  <c r="B40" i="1"/>
  <c r="B41" i="1"/>
  <c r="B42" i="1"/>
  <c r="B43" i="1"/>
  <c r="B44" i="1"/>
  <c r="B45" i="1"/>
  <c r="B46" i="1"/>
  <c r="B39" i="1"/>
  <c r="F39" i="1"/>
  <c r="F41" i="1"/>
  <c r="F43" i="1"/>
  <c r="F46" i="1"/>
  <c r="F44" i="1"/>
  <c r="F40" i="1"/>
  <c r="F45" i="1"/>
  <c r="F42" i="1"/>
  <c r="M43" i="40" l="1"/>
  <c r="M42" i="40"/>
  <c r="M41" i="40"/>
  <c r="M40" i="40"/>
  <c r="M39" i="40"/>
  <c r="M38" i="40"/>
  <c r="M37" i="40"/>
  <c r="M36" i="40"/>
  <c r="M35" i="40"/>
  <c r="M34" i="40"/>
  <c r="M33" i="40"/>
  <c r="M32" i="40"/>
  <c r="M31" i="40"/>
  <c r="M30" i="40"/>
  <c r="M29" i="40"/>
  <c r="M28" i="40"/>
  <c r="M27" i="40"/>
  <c r="M26" i="40"/>
  <c r="M25" i="40"/>
  <c r="M24" i="40"/>
  <c r="M23" i="40"/>
  <c r="M22" i="40"/>
  <c r="M21" i="40"/>
  <c r="M20" i="40"/>
  <c r="M19" i="40"/>
  <c r="M18" i="40"/>
  <c r="M17" i="40"/>
  <c r="M16" i="40"/>
  <c r="M15" i="40"/>
  <c r="M14" i="40"/>
  <c r="M13" i="40"/>
  <c r="M12" i="40"/>
  <c r="M11" i="40"/>
  <c r="M10" i="40"/>
  <c r="M9" i="40"/>
  <c r="M8" i="40"/>
  <c r="M7" i="40"/>
  <c r="M6" i="40"/>
  <c r="M5" i="40"/>
  <c r="M4" i="40"/>
  <c r="P12" i="39"/>
  <c r="H12" i="39"/>
  <c r="P11" i="39"/>
  <c r="H11" i="39"/>
  <c r="P10" i="39"/>
  <c r="H10" i="39"/>
  <c r="P9" i="39"/>
  <c r="H9" i="39"/>
  <c r="P8" i="39"/>
  <c r="H8" i="39"/>
  <c r="P7" i="39"/>
  <c r="H7" i="39"/>
  <c r="P6" i="39"/>
  <c r="H6" i="39"/>
  <c r="P5" i="39"/>
  <c r="H5" i="39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G5" i="38"/>
  <c r="G4" i="38"/>
  <c r="M7" i="38" l="1" a="1"/>
  <c r="M7" i="38" s="1"/>
  <c r="M9" i="38" a="1"/>
  <c r="M9" i="38" s="1"/>
  <c r="M4" i="38" a="1"/>
  <c r="M4" i="38" s="1"/>
  <c r="M8" i="38" a="1"/>
  <c r="M8" i="38" s="1"/>
  <c r="M6" i="38" a="1"/>
  <c r="M6" i="38" s="1"/>
  <c r="M5" i="38" a="1"/>
  <c r="M5" i="38" s="1"/>
  <c r="S6" i="39" a="1"/>
  <c r="S6" i="39" s="1"/>
  <c r="S7" i="39" a="1"/>
  <c r="S7" i="39" s="1"/>
  <c r="S8" i="39" a="1"/>
  <c r="S8" i="39" s="1"/>
  <c r="S5" i="39" a="1"/>
  <c r="S5" i="39" s="1"/>
  <c r="Q4" i="40" a="1"/>
  <c r="Q4" i="40" s="1"/>
  <c r="P4" i="40" a="1"/>
  <c r="P4" i="40" s="1"/>
  <c r="P7" i="40" a="1"/>
  <c r="P7" i="40" s="1"/>
  <c r="P6" i="40" a="1"/>
  <c r="P6" i="40" s="1"/>
  <c r="P5" i="40" a="1"/>
  <c r="P5" i="40" s="1"/>
  <c r="Q5" i="40" a="1"/>
  <c r="Q5" i="40" s="1"/>
  <c r="Q6" i="40" a="1"/>
  <c r="Q6" i="40" s="1"/>
  <c r="Q7" i="40" a="1"/>
  <c r="Q7" i="40" s="1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J13" i="4"/>
  <c r="J17" i="4"/>
  <c r="J18" i="4"/>
  <c r="J15" i="4"/>
  <c r="J19" i="4"/>
  <c r="J27" i="4"/>
  <c r="J22" i="4"/>
  <c r="J26" i="4"/>
  <c r="J12" i="4"/>
  <c r="J25" i="4"/>
  <c r="J24" i="4"/>
  <c r="J23" i="4"/>
  <c r="J14" i="4"/>
  <c r="J21" i="4"/>
  <c r="J16" i="4"/>
  <c r="J20" i="4"/>
  <c r="K12" i="4" l="1"/>
  <c r="K19" i="4"/>
  <c r="K20" i="4"/>
  <c r="K21" i="4"/>
  <c r="K22" i="4"/>
  <c r="K23" i="4"/>
  <c r="K13" i="4"/>
  <c r="K18" i="4"/>
  <c r="K24" i="4"/>
  <c r="K16" i="4"/>
  <c r="K25" i="4"/>
  <c r="K14" i="4"/>
  <c r="K17" i="4"/>
  <c r="K26" i="4"/>
  <c r="K15" i="4"/>
  <c r="K27" i="4"/>
</calcChain>
</file>

<file path=xl/sharedStrings.xml><?xml version="1.0" encoding="utf-8"?>
<sst xmlns="http://schemas.openxmlformats.org/spreadsheetml/2006/main" count="1893" uniqueCount="991">
  <si>
    <t>[표1]</t>
  </si>
  <si>
    <t>부서명</t>
  </si>
  <si>
    <t>여(2)</t>
  </si>
  <si>
    <t>관리부</t>
  </si>
  <si>
    <t>영업부</t>
  </si>
  <si>
    <t>총무부</t>
  </si>
  <si>
    <t>[표2]</t>
  </si>
  <si>
    <t>이름</t>
  </si>
  <si>
    <t>주민등록번호</t>
  </si>
  <si>
    <t>생년월일</t>
  </si>
  <si>
    <t>예금액</t>
  </si>
  <si>
    <t>결혼여부</t>
  </si>
  <si>
    <t>대출가능액</t>
  </si>
  <si>
    <t>지원액</t>
  </si>
  <si>
    <t>총대여액</t>
  </si>
  <si>
    <t>김기춘</t>
  </si>
  <si>
    <t>기혼</t>
  </si>
  <si>
    <t>박오환</t>
  </si>
  <si>
    <t>미혼</t>
  </si>
  <si>
    <t>남현우</t>
  </si>
  <si>
    <t>최수현</t>
  </si>
  <si>
    <t>김슬기</t>
  </si>
  <si>
    <t>서인국</t>
  </si>
  <si>
    <t>박영철</t>
  </si>
  <si>
    <t>김미영</t>
  </si>
  <si>
    <t>장성민</t>
  </si>
  <si>
    <t>931120-2153632</t>
    <phoneticPr fontId="2" type="noConversion"/>
  </si>
  <si>
    <t>이동국</t>
  </si>
  <si>
    <t>[표4]</t>
  </si>
  <si>
    <t>최소 예금자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</si>
  <si>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</si>
  <si>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</si>
  <si>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</si>
  <si>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</si>
  <si>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</si>
  <si>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</si>
  <si>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</si>
  <si>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</si>
  <si>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</si>
  <si>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</si>
  <si>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</si>
  <si>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</si>
  <si>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</si>
  <si>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</si>
  <si>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</si>
  <si>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</si>
  <si>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</si>
  <si>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</si>
  <si>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</si>
  <si>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</si>
  <si>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</si>
  <si>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</si>
  <si>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</si>
  <si>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</si>
  <si>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</si>
  <si>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</si>
  <si>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</si>
  <si>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</si>
  <si>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</si>
  <si>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2" type="noConversion"/>
  </si>
  <si>
    <t>연말 상여금 지급 현황</t>
  </si>
  <si>
    <t>단위 : 천원</t>
  </si>
  <si>
    <t>직무</t>
  </si>
  <si>
    <t>6급</t>
  </si>
  <si>
    <t>7급</t>
  </si>
  <si>
    <t>50번째 백분위수</t>
  </si>
  <si>
    <t>사원명</t>
  </si>
  <si>
    <t>직위</t>
  </si>
  <si>
    <t>지급액</t>
  </si>
  <si>
    <t>간호</t>
  </si>
  <si>
    <t>신소진</t>
  </si>
  <si>
    <t>사원</t>
  </si>
  <si>
    <t>건축</t>
  </si>
  <si>
    <t>이은철</t>
  </si>
  <si>
    <t>차장</t>
  </si>
  <si>
    <t>행정</t>
  </si>
  <si>
    <t>박희천</t>
  </si>
  <si>
    <t>과장</t>
  </si>
  <si>
    <t>환경</t>
  </si>
  <si>
    <t>노수용</t>
  </si>
  <si>
    <t>조명섭</t>
  </si>
  <si>
    <t>대리</t>
  </si>
  <si>
    <t>인사현황</t>
  </si>
  <si>
    <t>이기수</t>
  </si>
  <si>
    <t>부장</t>
  </si>
  <si>
    <t>성   명</t>
  </si>
  <si>
    <t>소        속</t>
  </si>
  <si>
    <t>성적</t>
  </si>
  <si>
    <t>최신호</t>
  </si>
  <si>
    <t>공재룡</t>
  </si>
  <si>
    <t>위생과</t>
  </si>
  <si>
    <t>박건창</t>
  </si>
  <si>
    <t>곽배동</t>
  </si>
  <si>
    <t>교통행정과</t>
  </si>
  <si>
    <t>김재규</t>
  </si>
  <si>
    <t>김유신</t>
  </si>
  <si>
    <t>보건사업과</t>
  </si>
  <si>
    <t>총상여금</t>
  </si>
  <si>
    <t>김이길</t>
  </si>
  <si>
    <t>박경숙</t>
  </si>
  <si>
    <t>박난초</t>
  </si>
  <si>
    <t>박영미</t>
  </si>
  <si>
    <t>사회복지과</t>
  </si>
  <si>
    <t>배승우</t>
  </si>
  <si>
    <t>총무과</t>
  </si>
  <si>
    <t>백수인</t>
  </si>
  <si>
    <t>여종택</t>
  </si>
  <si>
    <t>회계과</t>
  </si>
  <si>
    <t>오장규</t>
  </si>
  <si>
    <t>우병순</t>
  </si>
  <si>
    <t>농림과</t>
  </si>
  <si>
    <t>이덕화</t>
  </si>
  <si>
    <t>징수과</t>
  </si>
  <si>
    <t>이성만</t>
  </si>
  <si>
    <t>상여금 차지율</t>
  </si>
  <si>
    <t>이순선</t>
  </si>
  <si>
    <t>민방위과</t>
  </si>
  <si>
    <t>장병철</t>
  </si>
  <si>
    <t>장성태</t>
  </si>
  <si>
    <t>장재근</t>
  </si>
  <si>
    <t>최은경</t>
  </si>
  <si>
    <t>추병선</t>
  </si>
  <si>
    <t>고향주소</t>
  </si>
  <si>
    <t>회비</t>
  </si>
  <si>
    <t>조</t>
  </si>
  <si>
    <t>김승호</t>
  </si>
  <si>
    <t>서울시 성동구</t>
  </si>
  <si>
    <t>4(2)</t>
  </si>
  <si>
    <t>정재호</t>
  </si>
  <si>
    <t>서울시 성북구</t>
  </si>
  <si>
    <t>3(1)</t>
  </si>
  <si>
    <t>성은희</t>
  </si>
  <si>
    <t>부천시 오정구</t>
  </si>
  <si>
    <t>5(3)</t>
  </si>
  <si>
    <t>이영주</t>
  </si>
  <si>
    <t>부천시 원미구</t>
  </si>
  <si>
    <t>2(0)</t>
  </si>
  <si>
    <t>배수인</t>
  </si>
  <si>
    <t>안양시 동안구</t>
  </si>
  <si>
    <t>표영호</t>
  </si>
  <si>
    <t>성남시 수정구</t>
  </si>
  <si>
    <t>회원명</t>
  </si>
  <si>
    <t>운동명</t>
  </si>
  <si>
    <t>사용시간</t>
  </si>
  <si>
    <t>할인시간</t>
  </si>
  <si>
    <t>사용요금</t>
  </si>
  <si>
    <t>레슨비용</t>
  </si>
  <si>
    <t>박종수</t>
  </si>
  <si>
    <t>수영</t>
  </si>
  <si>
    <t>최용준</t>
  </si>
  <si>
    <t>헬스</t>
  </si>
  <si>
    <t>강대수</t>
  </si>
  <si>
    <t>스쿼시</t>
  </si>
  <si>
    <t>추인혜</t>
  </si>
  <si>
    <t>지석영</t>
  </si>
  <si>
    <t>이상호</t>
  </si>
  <si>
    <t>표인종</t>
  </si>
  <si>
    <t>장은지</t>
  </si>
  <si>
    <t>곽인정</t>
  </si>
  <si>
    <t>중간값의 차</t>
  </si>
  <si>
    <t>최소 사용요금</t>
  </si>
  <si>
    <t>지역/변경고객번호</t>
  </si>
  <si>
    <t>실적포인트</t>
  </si>
  <si>
    <t>A</t>
  </si>
  <si>
    <t>B</t>
  </si>
  <si>
    <t>고객별 포인트 점수 현황</t>
  </si>
  <si>
    <t>고객번호</t>
  </si>
  <si>
    <t>변경고객번호</t>
  </si>
  <si>
    <t>고객이름</t>
  </si>
  <si>
    <t>지역</t>
  </si>
  <si>
    <t>구매실적</t>
  </si>
  <si>
    <t>할인율</t>
  </si>
  <si>
    <t>거래빈도</t>
  </si>
  <si>
    <t>비고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</si>
  <si>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</si>
  <si>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</si>
  <si>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</si>
  <si>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</si>
  <si>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</si>
  <si>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</si>
  <si>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</si>
  <si>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</si>
  <si>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</si>
  <si>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</si>
  <si>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김인하</t>
  </si>
  <si>
    <t>C121</t>
  </si>
  <si>
    <t>성유희</t>
  </si>
  <si>
    <t>C122</t>
  </si>
  <si>
    <t>강진미</t>
  </si>
  <si>
    <t>C123</t>
  </si>
  <si>
    <t>이성범</t>
  </si>
  <si>
    <t>C124</t>
  </si>
  <si>
    <t>류시강</t>
  </si>
  <si>
    <t>C125</t>
  </si>
  <si>
    <t>현지건</t>
  </si>
  <si>
    <t>연수 점수 및 급여 현황</t>
  </si>
  <si>
    <t>등급</t>
  </si>
  <si>
    <t>성명</t>
  </si>
  <si>
    <t>과정코드</t>
  </si>
  <si>
    <t>필기점수</t>
  </si>
  <si>
    <t>근무년수</t>
  </si>
  <si>
    <t>경력점수</t>
  </si>
  <si>
    <t>고급반</t>
  </si>
  <si>
    <t>김현중</t>
  </si>
  <si>
    <t>전산-1</t>
  </si>
  <si>
    <t>중급반</t>
  </si>
  <si>
    <t>이상랑</t>
  </si>
  <si>
    <t>전산-2</t>
  </si>
  <si>
    <t>기초반</t>
  </si>
  <si>
    <t>김국토</t>
  </si>
  <si>
    <t>전산-3</t>
  </si>
  <si>
    <t>진선미</t>
  </si>
  <si>
    <t>영어-1</t>
  </si>
  <si>
    <t>총점수</t>
  </si>
  <si>
    <t>상여금율</t>
  </si>
  <si>
    <t>구영후</t>
  </si>
  <si>
    <t>영어-2</t>
  </si>
  <si>
    <t>민정식</t>
  </si>
  <si>
    <t>영어-3</t>
  </si>
  <si>
    <t>도한국</t>
  </si>
  <si>
    <t>마케팅-1</t>
  </si>
  <si>
    <t>박지예</t>
  </si>
  <si>
    <t>마케팅-2</t>
  </si>
  <si>
    <t>평균</t>
  </si>
  <si>
    <t>근무팀</t>
  </si>
  <si>
    <t>2/3호봉 직원수</t>
  </si>
  <si>
    <t>큰 값-평균 값</t>
  </si>
  <si>
    <t>총무팀</t>
  </si>
  <si>
    <t>1 호봉</t>
  </si>
  <si>
    <t>기술팀</t>
  </si>
  <si>
    <t>2 호봉</t>
  </si>
  <si>
    <t>영업팀</t>
  </si>
  <si>
    <t>3 호봉</t>
  </si>
  <si>
    <t>4 호봉</t>
  </si>
  <si>
    <t>5 호봉</t>
  </si>
  <si>
    <t>6 호봉</t>
  </si>
  <si>
    <t>호봉</t>
  </si>
  <si>
    <t>식대</t>
  </si>
  <si>
    <t>교통비</t>
  </si>
  <si>
    <t>차량보조금</t>
  </si>
  <si>
    <t>급여 총액</t>
  </si>
  <si>
    <t>만기금액</t>
  </si>
  <si>
    <t>강상일</t>
  </si>
  <si>
    <t>4호봉</t>
  </si>
  <si>
    <t>강애연</t>
  </si>
  <si>
    <t>3호봉</t>
  </si>
  <si>
    <t>강충기</t>
  </si>
  <si>
    <t>2호봉</t>
  </si>
  <si>
    <t>김규한</t>
  </si>
  <si>
    <t>6호봉</t>
  </si>
  <si>
    <t>김동구</t>
  </si>
  <si>
    <t>김병철</t>
  </si>
  <si>
    <t>김사현</t>
  </si>
  <si>
    <t>1호봉</t>
  </si>
  <si>
    <t>김수정</t>
  </si>
  <si>
    <t>김영석</t>
  </si>
  <si>
    <t>5호봉</t>
  </si>
  <si>
    <t>김용곤</t>
  </si>
  <si>
    <t>김용철</t>
  </si>
  <si>
    <t>김인철</t>
  </si>
  <si>
    <t>김재웅</t>
  </si>
  <si>
    <t>김정우</t>
  </si>
  <si>
    <t>김종진</t>
  </si>
  <si>
    <t>김지훈</t>
  </si>
  <si>
    <t>부서별 급여 지급 내역서</t>
  </si>
  <si>
    <t>기준날짜</t>
  </si>
  <si>
    <t>사원코드</t>
  </si>
  <si>
    <t>입사일</t>
  </si>
  <si>
    <t>상여금</t>
  </si>
  <si>
    <t>수당</t>
  </si>
  <si>
    <t>G1</t>
  </si>
  <si>
    <t>홍기남</t>
  </si>
  <si>
    <t>기획부</t>
  </si>
  <si>
    <t>C2</t>
  </si>
  <si>
    <t>이기자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</si>
  <si>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</si>
  <si>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</si>
  <si>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</si>
  <si>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</si>
  <si>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</si>
  <si>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</si>
  <si>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</si>
  <si>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</si>
  <si>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</si>
  <si>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</si>
  <si>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</si>
  <si>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</si>
  <si>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</si>
  <si>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</si>
  <si>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급여증가분</t>
  </si>
  <si>
    <t>수당지급율표</t>
  </si>
  <si>
    <t>수당비율</t>
  </si>
  <si>
    <t>공과대학 성적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</si>
  <si>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</si>
  <si>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</si>
  <si>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</si>
  <si>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</si>
  <si>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</si>
  <si>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</si>
  <si>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</si>
  <si>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</si>
  <si>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</si>
  <si>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</si>
  <si>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</si>
  <si>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</si>
  <si>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</si>
  <si>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</si>
  <si>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</si>
  <si>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</si>
  <si>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</si>
  <si>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평점 관리표</t>
  </si>
  <si>
    <t>D</t>
  </si>
  <si>
    <t>C</t>
  </si>
  <si>
    <t>A+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</si>
  <si>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</si>
  <si>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</si>
  <si>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</si>
  <si>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</si>
  <si>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</si>
  <si>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</si>
  <si>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</si>
  <si>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</si>
  <si>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</si>
  <si>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</si>
  <si>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</si>
  <si>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</si>
  <si>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서부</t>
  </si>
  <si>
    <t>코란도</t>
  </si>
  <si>
    <t>판매액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</si>
  <si>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</si>
  <si>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</si>
  <si>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</si>
  <si>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</si>
  <si>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</si>
  <si>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</si>
  <si>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</si>
  <si>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</si>
  <si>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일자</t>
  </si>
  <si>
    <t>배달시간(분)</t>
  </si>
  <si>
    <t>도부영</t>
  </si>
  <si>
    <t>배무영</t>
  </si>
  <si>
    <t>장동욱</t>
  </si>
  <si>
    <t>배달누락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</si>
  <si>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</si>
  <si>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</si>
  <si>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</si>
  <si>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</si>
  <si>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</si>
  <si>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</si>
  <si>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</si>
  <si>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</si>
  <si>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</si>
  <si>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</si>
  <si>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</si>
  <si>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</si>
  <si>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</si>
  <si>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</si>
  <si>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y012g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</si>
  <si>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</si>
  <si>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</si>
  <si>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</si>
  <si>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</si>
  <si>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</si>
  <si>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</si>
  <si>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</si>
  <si>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</si>
  <si>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</si>
  <si>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</si>
  <si>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</si>
  <si>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성적 분포도</t>
  </si>
  <si>
    <t>국어</t>
  </si>
  <si>
    <t>영어</t>
  </si>
  <si>
    <t>수학</t>
  </si>
  <si>
    <t>결석</t>
  </si>
  <si>
    <t>판정</t>
  </si>
  <si>
    <t>반편성</t>
  </si>
  <si>
    <t>점수 대별</t>
  </si>
  <si>
    <t>F</t>
  </si>
  <si>
    <t>D+</t>
  </si>
  <si>
    <t>C+</t>
  </si>
  <si>
    <t>B+</t>
  </si>
  <si>
    <t>김호진</t>
  </si>
  <si>
    <t>박득우</t>
  </si>
  <si>
    <t>박중태</t>
  </si>
  <si>
    <t>반별 평균</t>
  </si>
  <si>
    <t>박한식</t>
  </si>
  <si>
    <t>신점기</t>
  </si>
  <si>
    <t>신종갑</t>
  </si>
  <si>
    <t>오문규</t>
  </si>
  <si>
    <t>오진영</t>
  </si>
  <si>
    <t>이유석</t>
  </si>
  <si>
    <t>이홍기</t>
  </si>
  <si>
    <t>정창욱</t>
  </si>
  <si>
    <t>[표1]</t>
    <phoneticPr fontId="2" type="noConversion"/>
  </si>
  <si>
    <t>[표2]</t>
    <phoneticPr fontId="2" type="noConversion"/>
  </si>
  <si>
    <t>구분</t>
    <phoneticPr fontId="2" type="noConversion"/>
  </si>
  <si>
    <t>[표3]</t>
    <phoneticPr fontId="2" type="noConversion"/>
  </si>
  <si>
    <t>[표4]</t>
    <phoneticPr fontId="2" type="noConversion"/>
  </si>
  <si>
    <t>860120-2547512</t>
    <phoneticPr fontId="2" type="noConversion"/>
  </si>
  <si>
    <t>이름</t>
    <phoneticPr fontId="2" type="noConversion"/>
  </si>
  <si>
    <t>일반</t>
    <phoneticPr fontId="2" type="noConversion"/>
  </si>
  <si>
    <t>등급</t>
    <phoneticPr fontId="2" type="noConversion"/>
  </si>
  <si>
    <t>비고</t>
    <phoneticPr fontId="2" type="noConversion"/>
  </si>
  <si>
    <t>기본요금</t>
    <phoneticPr fontId="2" type="noConversion"/>
  </si>
  <si>
    <t>월요일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</si>
  <si>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</si>
  <si>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</si>
  <si>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</si>
  <si>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[표5]</t>
    <phoneticPr fontId="2" type="noConversion"/>
  </si>
  <si>
    <t>K</t>
    <phoneticPr fontId="2" type="noConversion"/>
  </si>
  <si>
    <t>가구</t>
    <phoneticPr fontId="2" type="noConversion"/>
  </si>
  <si>
    <t>지역</t>
    <phoneticPr fontId="2" type="noConversion"/>
  </si>
  <si>
    <t>인천</t>
    <phoneticPr fontId="2" type="noConversion"/>
  </si>
  <si>
    <t>최대상여금 순위</t>
    <phoneticPr fontId="2" type="noConversion"/>
  </si>
  <si>
    <t>평균</t>
    <phoneticPr fontId="2" type="noConversion"/>
  </si>
  <si>
    <t>호수</t>
    <phoneticPr fontId="2" type="noConversion"/>
  </si>
  <si>
    <t>전력량</t>
    <phoneticPr fontId="2" type="noConversion"/>
  </si>
  <si>
    <t>구간</t>
    <phoneticPr fontId="2" type="noConversion"/>
  </si>
  <si>
    <t>전력량요금</t>
    <phoneticPr fontId="2" type="noConversion"/>
  </si>
  <si>
    <t>금액</t>
    <phoneticPr fontId="2" type="noConversion"/>
  </si>
  <si>
    <t>단가</t>
    <phoneticPr fontId="2" type="noConversion"/>
  </si>
  <si>
    <t>S</t>
    <phoneticPr fontId="2" type="noConversion"/>
  </si>
  <si>
    <t>서울</t>
    <phoneticPr fontId="2" type="noConversion"/>
  </si>
  <si>
    <t>부산</t>
    <phoneticPr fontId="2" type="noConversion"/>
  </si>
  <si>
    <t>울산</t>
    <phoneticPr fontId="2" type="noConversion"/>
  </si>
  <si>
    <t>[표5] 제품 코드표</t>
    <phoneticPr fontId="2" type="noConversion"/>
  </si>
  <si>
    <t>학과별순위</t>
    <phoneticPr fontId="2" type="noConversion"/>
  </si>
  <si>
    <t>반별 최대 평균 학생</t>
    <phoneticPr fontId="2" type="noConversion"/>
  </si>
  <si>
    <t>[표5] 등급별 근무년수별 평균 필기점수</t>
    <phoneticPr fontId="2" type="noConversion"/>
  </si>
  <si>
    <t>남(1)</t>
    <phoneticPr fontId="2" type="noConversion"/>
  </si>
  <si>
    <t>남(3)</t>
    <phoneticPr fontId="2" type="noConversion"/>
  </si>
  <si>
    <t>여(4)</t>
    <phoneticPr fontId="2" type="noConversion"/>
  </si>
  <si>
    <t>760120-1546210</t>
    <phoneticPr fontId="2" type="noConversion"/>
  </si>
  <si>
    <t>010915-3231426</t>
    <phoneticPr fontId="2" type="noConversion"/>
  </si>
  <si>
    <t>960723-1068524</t>
    <phoneticPr fontId="2" type="noConversion"/>
  </si>
  <si>
    <t>901230-1125341</t>
    <phoneticPr fontId="2" type="noConversion"/>
  </si>
  <si>
    <t>020706-4685422</t>
    <phoneticPr fontId="2" type="noConversion"/>
  </si>
  <si>
    <t>890519-1785423</t>
    <phoneticPr fontId="2" type="noConversion"/>
  </si>
  <si>
    <t>001125-3265845</t>
    <phoneticPr fontId="2" type="noConversion"/>
  </si>
  <si>
    <t>990418-2651472</t>
    <phoneticPr fontId="2" type="noConversion"/>
  </si>
  <si>
    <t>가족 수(자녀)</t>
    <phoneticPr fontId="2" type="noConversion"/>
  </si>
  <si>
    <t>탈퇴</t>
    <phoneticPr fontId="2" type="noConversion"/>
  </si>
  <si>
    <t>1(0)</t>
    <phoneticPr fontId="2" type="noConversion"/>
  </si>
  <si>
    <t>[표4] 직위별 상여금 차지율</t>
    <phoneticPr fontId="2" type="noConversion"/>
  </si>
  <si>
    <t>고객번호</t>
    <phoneticPr fontId="2" type="noConversion"/>
  </si>
  <si>
    <t>고객등급</t>
    <phoneticPr fontId="2" type="noConversion"/>
  </si>
  <si>
    <t>대출일</t>
    <phoneticPr fontId="2" type="noConversion"/>
  </si>
  <si>
    <t>대출종류</t>
  </si>
  <si>
    <t>대출액</t>
    <phoneticPr fontId="2" type="noConversion"/>
  </si>
  <si>
    <t>대출기간</t>
    <phoneticPr fontId="2" type="noConversion"/>
  </si>
  <si>
    <t>대출수수료</t>
    <phoneticPr fontId="2" type="noConversion"/>
  </si>
  <si>
    <t>월납입액</t>
    <phoneticPr fontId="2" type="noConversion"/>
  </si>
  <si>
    <t>C04-08</t>
    <phoneticPr fontId="2" type="noConversion"/>
  </si>
  <si>
    <t>무보증신용</t>
    <phoneticPr fontId="2" type="noConversion"/>
  </si>
  <si>
    <t>P01-23</t>
    <phoneticPr fontId="2" type="noConversion"/>
  </si>
  <si>
    <t>최우수</t>
    <phoneticPr fontId="2" type="noConversion"/>
  </si>
  <si>
    <t>K02-12</t>
    <phoneticPr fontId="2" type="noConversion"/>
  </si>
  <si>
    <t>K02-26</t>
    <phoneticPr fontId="2" type="noConversion"/>
  </si>
  <si>
    <t>우수</t>
    <phoneticPr fontId="2" type="noConversion"/>
  </si>
  <si>
    <t>예부적금담보</t>
    <phoneticPr fontId="2" type="noConversion"/>
  </si>
  <si>
    <t>P01-27</t>
  </si>
  <si>
    <t>S03-37</t>
    <phoneticPr fontId="2" type="noConversion"/>
  </si>
  <si>
    <t>K02-59</t>
    <phoneticPr fontId="2" type="noConversion"/>
  </si>
  <si>
    <t>국민주택기금</t>
    <phoneticPr fontId="2" type="noConversion"/>
  </si>
  <si>
    <t>C03-08</t>
    <phoneticPr fontId="2" type="noConversion"/>
  </si>
  <si>
    <t>P02-14</t>
    <phoneticPr fontId="2" type="noConversion"/>
  </si>
  <si>
    <t>K01-07</t>
    <phoneticPr fontId="2" type="noConversion"/>
  </si>
  <si>
    <t>S04-02</t>
    <phoneticPr fontId="2" type="noConversion"/>
  </si>
  <si>
    <t>K03-26</t>
    <phoneticPr fontId="2" type="noConversion"/>
  </si>
  <si>
    <t>주택자금</t>
    <phoneticPr fontId="2" type="noConversion"/>
  </si>
  <si>
    <t>S03-05</t>
    <phoneticPr fontId="2" type="noConversion"/>
  </si>
  <si>
    <t>P01-37</t>
  </si>
  <si>
    <t>S01-02</t>
    <phoneticPr fontId="2" type="noConversion"/>
  </si>
  <si>
    <t>P04-48</t>
    <phoneticPr fontId="2" type="noConversion"/>
  </si>
  <si>
    <t>C02-67</t>
    <phoneticPr fontId="2" type="noConversion"/>
  </si>
  <si>
    <t>C02-38</t>
  </si>
  <si>
    <t>C01-38</t>
    <phoneticPr fontId="2" type="noConversion"/>
  </si>
  <si>
    <t>C02-01</t>
  </si>
  <si>
    <t>S01-64</t>
    <phoneticPr fontId="2" type="noConversion"/>
  </si>
  <si>
    <t>P04-15</t>
    <phoneticPr fontId="2" type="noConversion"/>
  </si>
  <si>
    <t>C02-28</t>
    <phoneticPr fontId="2" type="noConversion"/>
  </si>
  <si>
    <t>K04-26</t>
    <phoneticPr fontId="2" type="noConversion"/>
  </si>
  <si>
    <t>K03-52</t>
  </si>
  <si>
    <t>C03-88</t>
    <phoneticPr fontId="2" type="noConversion"/>
  </si>
  <si>
    <t>S04-31</t>
    <phoneticPr fontId="2" type="noConversion"/>
  </si>
  <si>
    <t>K02-06</t>
    <phoneticPr fontId="2" type="noConversion"/>
  </si>
  <si>
    <t>K04-35</t>
  </si>
  <si>
    <t>S01-42</t>
    <phoneticPr fontId="2" type="noConversion"/>
  </si>
  <si>
    <t>[표4] 대출형태와 순위별 매출액</t>
    <phoneticPr fontId="2" type="noConversion"/>
  </si>
  <si>
    <t>대출형태</t>
    <phoneticPr fontId="2" type="noConversion"/>
  </si>
  <si>
    <t>신용</t>
    <phoneticPr fontId="2" type="noConversion"/>
  </si>
  <si>
    <t>담보</t>
    <phoneticPr fontId="2" type="noConversion"/>
  </si>
  <si>
    <t>기금</t>
    <phoneticPr fontId="2" type="noConversion"/>
  </si>
  <si>
    <t>자금</t>
    <phoneticPr fontId="2" type="noConversion"/>
  </si>
  <si>
    <t>[표3] 대출년와 지역별 대출 건수</t>
    <phoneticPr fontId="2" type="noConversion"/>
  </si>
  <si>
    <t>대출년도</t>
    <phoneticPr fontId="2" type="noConversion"/>
  </si>
  <si>
    <t>대전</t>
    <phoneticPr fontId="2" type="noConversion"/>
  </si>
  <si>
    <t>P</t>
    <phoneticPr fontId="2" type="noConversion"/>
  </si>
  <si>
    <t>[표1] 전력량별 요금표</t>
    <phoneticPr fontId="2" type="noConversion"/>
  </si>
  <si>
    <t>세대수</t>
    <phoneticPr fontId="2" type="noConversion"/>
  </si>
  <si>
    <t>전력량 상위4위까지 평균</t>
    <phoneticPr fontId="2" type="noConversion"/>
  </si>
  <si>
    <t xml:space="preserve">기준일 : 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</si>
  <si>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</si>
  <si>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</si>
  <si>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</si>
  <si>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</si>
  <si>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전월전력량</t>
    <phoneticPr fontId="2" type="noConversion"/>
  </si>
  <si>
    <t>연체일</t>
    <phoneticPr fontId="2" type="noConversion"/>
  </si>
  <si>
    <t>그래프</t>
    <phoneticPr fontId="2" type="noConversion"/>
  </si>
  <si>
    <t>이용금액</t>
    <phoneticPr fontId="2" type="noConversion"/>
  </si>
  <si>
    <t>L</t>
    <phoneticPr fontId="2" type="noConversion"/>
  </si>
  <si>
    <t>M</t>
    <phoneticPr fontId="2" type="noConversion"/>
  </si>
  <si>
    <t>[표2] 고객등급과 대출액별 수수료</t>
    <phoneticPr fontId="2" type="noConversion"/>
  </si>
  <si>
    <t>납입일</t>
    <phoneticPr fontId="2" type="noConversion"/>
  </si>
  <si>
    <t xml:space="preserve">기준날짜 : </t>
    <phoneticPr fontId="2" type="noConversion"/>
  </si>
  <si>
    <t>센터코드</t>
    <phoneticPr fontId="2" type="noConversion"/>
  </si>
  <si>
    <t>운영구분</t>
    <phoneticPr fontId="2" type="noConversion"/>
  </si>
  <si>
    <t>개설연월</t>
    <phoneticPr fontId="2" type="noConversion"/>
  </si>
  <si>
    <t>면적</t>
    <phoneticPr fontId="2" type="noConversion"/>
  </si>
  <si>
    <t>취급품목정보</t>
    <phoneticPr fontId="2" type="noConversion"/>
  </si>
  <si>
    <t>보유차량</t>
    <phoneticPr fontId="2" type="noConversion"/>
  </si>
  <si>
    <t>휴무일정보</t>
    <phoneticPr fontId="2" type="noConversion"/>
  </si>
  <si>
    <t>평균면적</t>
    <phoneticPr fontId="2" type="noConversion"/>
  </si>
  <si>
    <t>c02</t>
    <phoneticPr fontId="2" type="noConversion"/>
  </si>
  <si>
    <t>위탁</t>
    <phoneticPr fontId="2" type="noConversion"/>
  </si>
  <si>
    <t>가전가구</t>
    <phoneticPr fontId="2" type="noConversion"/>
  </si>
  <si>
    <t>일요일, 공휴일</t>
    <phoneticPr fontId="2" type="noConversion"/>
  </si>
  <si>
    <t>직영</t>
    <phoneticPr fontId="2" type="noConversion"/>
  </si>
  <si>
    <t>c11</t>
  </si>
  <si>
    <t>종이류, 의류,  플라스틱류, 스티로폼류 등</t>
    <phoneticPr fontId="2" type="noConversion"/>
  </si>
  <si>
    <t>일요일</t>
    <phoneticPr fontId="2" type="noConversion"/>
  </si>
  <si>
    <t>c04</t>
    <phoneticPr fontId="2" type="noConversion"/>
  </si>
  <si>
    <t>가구, 플라스틱류, 캔류, 고철류 등</t>
    <phoneticPr fontId="2" type="noConversion"/>
  </si>
  <si>
    <t>토요일, 일요일</t>
    <phoneticPr fontId="2" type="noConversion"/>
  </si>
  <si>
    <t>c06</t>
    <phoneticPr fontId="2" type="noConversion"/>
  </si>
  <si>
    <t>성남</t>
    <phoneticPr fontId="2" type="noConversion"/>
  </si>
  <si>
    <t>가구가전</t>
    <phoneticPr fontId="2" type="noConversion"/>
  </si>
  <si>
    <t>c08</t>
    <phoneticPr fontId="2" type="noConversion"/>
  </si>
  <si>
    <t>마산</t>
    <phoneticPr fontId="2" type="noConversion"/>
  </si>
  <si>
    <t>종이류, 고철류, 의류, 플라스틱류 등</t>
    <phoneticPr fontId="2" type="noConversion"/>
  </si>
  <si>
    <t>토요일, 일요일, 공휴일</t>
    <phoneticPr fontId="2" type="noConversion"/>
  </si>
  <si>
    <t>운영구분개수</t>
    <phoneticPr fontId="2" type="noConversion"/>
  </si>
  <si>
    <t>가전</t>
    <phoneticPr fontId="2" type="noConversion"/>
  </si>
  <si>
    <t>의류</t>
    <phoneticPr fontId="2" type="noConversion"/>
  </si>
  <si>
    <t>d13</t>
  </si>
  <si>
    <t>폐지, 알루미늄 등</t>
    <phoneticPr fontId="2" type="noConversion"/>
  </si>
  <si>
    <t>d01</t>
    <phoneticPr fontId="2" type="noConversion"/>
  </si>
  <si>
    <t>수원</t>
    <phoneticPr fontId="2" type="noConversion"/>
  </si>
  <si>
    <t>종이류, 합성수지, 가구, 고철류 등</t>
    <phoneticPr fontId="2" type="noConversion"/>
  </si>
  <si>
    <t>d12</t>
  </si>
  <si>
    <t>스티로폼류, 플라스틱류, 가구, 가전 등</t>
    <phoneticPr fontId="2" type="noConversion"/>
  </si>
  <si>
    <t>공휴일</t>
    <phoneticPr fontId="2" type="noConversion"/>
  </si>
  <si>
    <t>d02</t>
    <phoneticPr fontId="2" type="noConversion"/>
  </si>
  <si>
    <t>옷, 가전, 신발, 가방, 가구 등</t>
    <phoneticPr fontId="2" type="noConversion"/>
  </si>
  <si>
    <t>c09</t>
    <phoneticPr fontId="2" type="noConversion"/>
  </si>
  <si>
    <t>서울</t>
  </si>
  <si>
    <t>종이류, 의류, 가전 등</t>
    <phoneticPr fontId="2" type="noConversion"/>
  </si>
  <si>
    <t>c07</t>
    <phoneticPr fontId="2" type="noConversion"/>
  </si>
  <si>
    <t>강릉</t>
    <phoneticPr fontId="2" type="noConversion"/>
  </si>
  <si>
    <t>종이류, 플라스틱류, 가전, 의류 등</t>
    <phoneticPr fontId="2" type="noConversion"/>
  </si>
  <si>
    <t>d10</t>
  </si>
  <si>
    <t>d03</t>
    <phoneticPr fontId="2" type="noConversion"/>
  </si>
  <si>
    <t>가구, 의류,  플라스틱류, 스티로폼류 등</t>
    <phoneticPr fontId="2" type="noConversion"/>
  </si>
  <si>
    <t>c12</t>
    <phoneticPr fontId="2" type="noConversion"/>
  </si>
  <si>
    <t>종이류, 플라스틱류, 의류, 고철류 등</t>
    <phoneticPr fontId="2" type="noConversion"/>
  </si>
  <si>
    <t>d07</t>
    <phoneticPr fontId="2" type="noConversion"/>
  </si>
  <si>
    <t>c01</t>
    <phoneticPr fontId="2" type="noConversion"/>
  </si>
  <si>
    <t>종이류, 가구, 가전 등</t>
    <phoneticPr fontId="2" type="noConversion"/>
  </si>
  <si>
    <t>d11</t>
  </si>
  <si>
    <t>종이류, 고철류, 공병, 의류 등</t>
    <phoneticPr fontId="2" type="noConversion"/>
  </si>
  <si>
    <t>d08</t>
    <phoneticPr fontId="2" type="noConversion"/>
  </si>
  <si>
    <t>종이류, 가전, 알루미늄 등</t>
    <phoneticPr fontId="2" type="noConversion"/>
  </si>
  <si>
    <t>d05</t>
    <phoneticPr fontId="2" type="noConversion"/>
  </si>
  <si>
    <t>종이류, 합성수지, 가구, 의류 등</t>
    <phoneticPr fontId="2" type="noConversion"/>
  </si>
  <si>
    <t>토요일</t>
    <phoneticPr fontId="2" type="noConversion"/>
  </si>
  <si>
    <t>c03</t>
    <phoneticPr fontId="2" type="noConversion"/>
  </si>
  <si>
    <t>c10</t>
  </si>
  <si>
    <t>옷, 신발, 가방, 가구 등</t>
    <phoneticPr fontId="2" type="noConversion"/>
  </si>
  <si>
    <t>d04</t>
    <phoneticPr fontId="2" type="noConversion"/>
  </si>
  <si>
    <t>의류, 플라스틱류, 공병, 고철 등</t>
    <phoneticPr fontId="2" type="noConversion"/>
  </si>
  <si>
    <t>c05</t>
    <phoneticPr fontId="2" type="noConversion"/>
  </si>
  <si>
    <t>d09</t>
    <phoneticPr fontId="2" type="noConversion"/>
  </si>
  <si>
    <t>종이류, 의류, 캔류, 가구, 가전 등</t>
    <phoneticPr fontId="2" type="noConversion"/>
  </si>
  <si>
    <t>d06</t>
    <phoneticPr fontId="2" type="noConversion"/>
  </si>
  <si>
    <t>슬라스틱류, 고철, 의류 등</t>
    <phoneticPr fontId="2" type="noConversion"/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</si>
  <si>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</si>
  <si>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</si>
  <si>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</si>
  <si>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</si>
  <si>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</si>
  <si>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</si>
  <si>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</si>
  <si>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</si>
  <si>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</si>
  <si>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</si>
  <si>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</si>
  <si>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</si>
  <si>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</si>
  <si>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</si>
  <si>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</si>
  <si>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</si>
  <si>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</si>
  <si>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</si>
  <si>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</si>
  <si>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</si>
  <si>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</si>
  <si>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</si>
  <si>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</si>
  <si>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</si>
  <si>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</si>
  <si>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</si>
  <si>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</si>
  <si>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</si>
  <si>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</si>
  <si>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</si>
  <si>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</si>
  <si>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</si>
  <si>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</si>
  <si>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</si>
  <si>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</si>
  <si>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</si>
  <si>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</si>
  <si>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</si>
  <si>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</si>
  <si>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</si>
  <si>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</si>
  <si>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</si>
  <si>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</si>
  <si>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</si>
  <si>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</si>
  <si>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</si>
  <si>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</si>
  <si>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</si>
  <si>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</si>
  <si>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</si>
  <si>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</si>
  <si>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</si>
  <si>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</si>
  <si>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</si>
  <si>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</si>
  <si>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</si>
  <si>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</si>
  <si>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</si>
  <si>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</si>
  <si>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</si>
  <si>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</si>
  <si>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</si>
  <si>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</si>
  <si>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</si>
  <si>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</si>
  <si>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</si>
  <si>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</si>
  <si>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</si>
  <si>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</si>
  <si>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</si>
  <si>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</si>
  <si>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</si>
  <si>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</si>
  <si>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</si>
  <si>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</si>
  <si>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</si>
  <si>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할인금액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</si>
  <si>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</si>
  <si>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</si>
  <si>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</si>
  <si>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</si>
  <si>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</si>
  <si>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</si>
  <si>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</si>
  <si>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</si>
  <si>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</si>
  <si>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</si>
  <si>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</si>
  <si>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</si>
  <si>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</si>
  <si>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</si>
  <si>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</si>
  <si>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</si>
  <si>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</si>
  <si>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</si>
  <si>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</si>
  <si>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</si>
  <si>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</si>
  <si>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</si>
  <si>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</si>
  <si>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</si>
  <si>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</si>
  <si>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</si>
  <si>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</si>
  <si>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</si>
  <si>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</si>
  <si>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</si>
  <si>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</si>
  <si>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</si>
  <si>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</si>
  <si>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</si>
  <si>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</si>
  <si>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</si>
  <si>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</si>
  <si>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</si>
  <si>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</si>
  <si>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</si>
  <si>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</si>
  <si>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</si>
  <si>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</si>
  <si>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</si>
  <si>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</si>
  <si>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</si>
  <si>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</si>
  <si>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</si>
  <si>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</si>
  <si>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</si>
  <si>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</si>
  <si>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</si>
  <si>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</si>
  <si>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</si>
  <si>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</si>
  <si>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</si>
  <si>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</si>
  <si>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</si>
  <si>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</si>
  <si>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</si>
  <si>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</si>
  <si>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</si>
  <si>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</si>
  <si>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</si>
  <si>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</si>
  <si>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</si>
  <si>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</si>
  <si>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</si>
  <si>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</si>
  <si>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</si>
  <si>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</si>
  <si>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</si>
  <si>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</si>
  <si>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</si>
  <si>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</si>
  <si>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</si>
  <si>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</si>
  <si>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</si>
  <si>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</si>
  <si>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</si>
  <si>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</si>
  <si>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</si>
  <si>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</si>
  <si>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</si>
  <si>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상공마트 종로점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</si>
  <si>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</si>
  <si>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</si>
  <si>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</si>
  <si>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</si>
  <si>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</si>
  <si>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</si>
  <si>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</si>
  <si>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</si>
  <si>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</si>
  <si>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</si>
  <si>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</si>
  <si>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명품마트 구로점</t>
    <phoneticPr fontId="2" type="noConversion"/>
  </si>
  <si>
    <t>M008</t>
  </si>
  <si>
    <t>명품마트 합정점</t>
    <phoneticPr fontId="2" type="noConversion"/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</si>
  <si>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</si>
  <si>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</si>
  <si>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</si>
  <si>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</si>
  <si>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</si>
  <si>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</si>
  <si>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</si>
  <si>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</si>
  <si>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</si>
  <si>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</si>
  <si>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</si>
  <si>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</si>
  <si>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</si>
  <si>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</si>
  <si>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</si>
  <si>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</si>
  <si>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</si>
  <si>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</si>
  <si>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</si>
  <si>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</si>
  <si>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</si>
  <si>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</si>
  <si>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</si>
  <si>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</si>
  <si>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</si>
  <si>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</si>
  <si>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</si>
  <si>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</si>
  <si>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</si>
  <si>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</si>
  <si>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</si>
  <si>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</si>
  <si>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</si>
  <si>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</si>
  <si>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</si>
  <si>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</si>
  <si>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</si>
  <si>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</si>
  <si>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</si>
  <si>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</si>
  <si>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</si>
  <si>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</si>
  <si>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613B571</t>
    <phoneticPr fontId="2" type="noConversion"/>
  </si>
  <si>
    <t>경상</t>
    <phoneticPr fontId="2" type="noConversion"/>
  </si>
  <si>
    <t>전라1팀</t>
    <phoneticPr fontId="2" type="noConversion"/>
  </si>
  <si>
    <t>973B652</t>
    <phoneticPr fontId="2" type="noConversion"/>
  </si>
  <si>
    <t>충청2팀</t>
    <phoneticPr fontId="2" type="noConversion"/>
  </si>
  <si>
    <t>936G104</t>
    <phoneticPr fontId="2" type="noConversion"/>
  </si>
  <si>
    <t>전라</t>
    <phoneticPr fontId="2" type="noConversion"/>
  </si>
  <si>
    <t>인천1팀</t>
    <phoneticPr fontId="2" type="noConversion"/>
  </si>
  <si>
    <t>123G182</t>
    <phoneticPr fontId="2" type="noConversion"/>
  </si>
  <si>
    <t>충청</t>
    <phoneticPr fontId="2" type="noConversion"/>
  </si>
  <si>
    <t>경기3팀</t>
    <phoneticPr fontId="2" type="noConversion"/>
  </si>
  <si>
    <t>862A071</t>
    <phoneticPr fontId="2" type="noConversion"/>
  </si>
  <si>
    <t>강원1팀</t>
    <phoneticPr fontId="2" type="noConversion"/>
  </si>
  <si>
    <t>154C865</t>
    <phoneticPr fontId="2" type="noConversion"/>
  </si>
  <si>
    <t>[표3] 센터별 팀별 담당자</t>
    <phoneticPr fontId="2" type="noConversion"/>
  </si>
  <si>
    <t>321G155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</si>
  <si>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</si>
  <si>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</si>
  <si>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</si>
  <si>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</si>
  <si>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532A012</t>
    <phoneticPr fontId="2" type="noConversion"/>
  </si>
  <si>
    <t>홍길동</t>
    <phoneticPr fontId="2" type="noConversion"/>
  </si>
  <si>
    <t>충청1팀</t>
    <phoneticPr fontId="2" type="noConversion"/>
  </si>
  <si>
    <t>345G115</t>
    <phoneticPr fontId="2" type="noConversion"/>
  </si>
  <si>
    <t>김길동</t>
    <phoneticPr fontId="2" type="noConversion"/>
  </si>
  <si>
    <t>인천2팀</t>
    <phoneticPr fontId="2" type="noConversion"/>
  </si>
  <si>
    <t>652B364</t>
    <phoneticPr fontId="2" type="noConversion"/>
  </si>
  <si>
    <t>박길동</t>
    <phoneticPr fontId="2" type="noConversion"/>
  </si>
  <si>
    <t>845A042</t>
    <phoneticPr fontId="2" type="noConversion"/>
  </si>
  <si>
    <t>송길동</t>
    <phoneticPr fontId="2" type="noConversion"/>
  </si>
  <si>
    <t>전라3팀</t>
    <phoneticPr fontId="2" type="noConversion"/>
  </si>
  <si>
    <t>951G124</t>
    <phoneticPr fontId="2" type="noConversion"/>
  </si>
  <si>
    <t>이길동</t>
    <phoneticPr fontId="2" type="noConversion"/>
  </si>
  <si>
    <t>325G154</t>
    <phoneticPr fontId="2" type="noConversion"/>
  </si>
  <si>
    <t>정길동</t>
    <phoneticPr fontId="2" type="noConversion"/>
  </si>
  <si>
    <t>547C846</t>
    <phoneticPr fontId="2" type="noConversion"/>
  </si>
  <si>
    <t>경기2팀</t>
    <phoneticPr fontId="2" type="noConversion"/>
  </si>
  <si>
    <t>412B685</t>
    <phoneticPr fontId="2" type="noConversion"/>
  </si>
  <si>
    <t>[표4] 상위 1~3위의 평균과 하위 1~3위 평균</t>
    <phoneticPr fontId="2" type="noConversion"/>
  </si>
  <si>
    <t>872G193</t>
    <phoneticPr fontId="2" type="noConversion"/>
  </si>
  <si>
    <t>542B566</t>
    <phoneticPr fontId="2" type="noConversion"/>
  </si>
  <si>
    <t>586G129</t>
    <phoneticPr fontId="2" type="noConversion"/>
  </si>
  <si>
    <t>A팀</t>
    <phoneticPr fontId="2" type="noConversion"/>
  </si>
  <si>
    <t>B팀</t>
    <phoneticPr fontId="2" type="noConversion"/>
  </si>
  <si>
    <t>[표2] A팀 선수들의 총평균</t>
    <phoneticPr fontId="2" type="noConversion"/>
  </si>
  <si>
    <t>대진</t>
    <phoneticPr fontId="2" type="noConversion"/>
  </si>
  <si>
    <t>선수명</t>
    <phoneticPr fontId="2" type="noConversion"/>
  </si>
  <si>
    <t>1회</t>
    <phoneticPr fontId="2" type="noConversion"/>
  </si>
  <si>
    <t>2회</t>
  </si>
  <si>
    <t>3회</t>
  </si>
  <si>
    <t>4회</t>
  </si>
  <si>
    <t>5회</t>
  </si>
  <si>
    <t>승률</t>
    <phoneticPr fontId="2" type="noConversion"/>
  </si>
  <si>
    <t>총평균</t>
    <phoneticPr fontId="2" type="noConversion"/>
  </si>
  <si>
    <t>이상철</t>
  </si>
  <si>
    <t>신동희</t>
  </si>
  <si>
    <t>조찬진</t>
  </si>
  <si>
    <t>노진호</t>
  </si>
  <si>
    <t>박신호</t>
  </si>
  <si>
    <t>안정환</t>
  </si>
  <si>
    <t>최노철</t>
  </si>
  <si>
    <t>하연수</t>
  </si>
  <si>
    <t>1회전 순위</t>
    <phoneticPr fontId="2" type="noConversion"/>
  </si>
  <si>
    <t>2회전 순위</t>
    <phoneticPr fontId="2" type="noConversion"/>
  </si>
  <si>
    <t>3회전 순위</t>
    <phoneticPr fontId="2" type="noConversion"/>
  </si>
  <si>
    <t>4회전 순위</t>
    <phoneticPr fontId="2" type="noConversion"/>
  </si>
  <si>
    <t>1회전 포인트</t>
    <phoneticPr fontId="2" type="noConversion"/>
  </si>
  <si>
    <t>1회전 배점</t>
    <phoneticPr fontId="2" type="noConversion"/>
  </si>
  <si>
    <t>1회전 상금</t>
    <phoneticPr fontId="2" type="noConversion"/>
  </si>
  <si>
    <t>배점합계</t>
    <phoneticPr fontId="2" type="noConversion"/>
  </si>
  <si>
    <t>진출</t>
    <phoneticPr fontId="2" type="noConversion"/>
  </si>
  <si>
    <t>순위</t>
    <phoneticPr fontId="2" type="noConversion"/>
  </si>
  <si>
    <t>배점</t>
    <phoneticPr fontId="2" type="noConversion"/>
  </si>
  <si>
    <t>상금</t>
    <phoneticPr fontId="2" type="noConversion"/>
  </si>
  <si>
    <t>순번</t>
    <phoneticPr fontId="2" type="noConversion"/>
  </si>
  <si>
    <t>법정동명</t>
    <phoneticPr fontId="2" type="noConversion"/>
  </si>
  <si>
    <t>본번</t>
    <phoneticPr fontId="2" type="noConversion"/>
  </si>
  <si>
    <t>부번</t>
    <phoneticPr fontId="2" type="noConversion"/>
  </si>
  <si>
    <t>월세</t>
    <phoneticPr fontId="2" type="noConversion"/>
  </si>
  <si>
    <t>매매가</t>
    <phoneticPr fontId="2" type="noConversion"/>
  </si>
  <si>
    <t>건물명</t>
    <phoneticPr fontId="2" type="noConversion"/>
  </si>
  <si>
    <t>10년대출시월불입액</t>
    <phoneticPr fontId="2" type="noConversion"/>
  </si>
  <si>
    <t>10년후월세가치</t>
    <phoneticPr fontId="2" type="noConversion"/>
  </si>
  <si>
    <t>옥외_주차수</t>
    <phoneticPr fontId="2" type="noConversion"/>
  </si>
  <si>
    <t>옥내_주차수</t>
    <phoneticPr fontId="2" type="noConversion"/>
  </si>
  <si>
    <t>총주차수</t>
    <phoneticPr fontId="2" type="noConversion"/>
  </si>
  <si>
    <t>순위 1~3위의 평균 총주차수</t>
    <phoneticPr fontId="2" type="noConversion"/>
  </si>
  <si>
    <t>최대 총주차수 건물명</t>
    <phoneticPr fontId="2" type="noConversion"/>
  </si>
  <si>
    <t>효자동</t>
  </si>
  <si>
    <t>영창드림맨션</t>
  </si>
  <si>
    <t>송천동</t>
  </si>
  <si>
    <t>군산미장2차아이파크</t>
  </si>
  <si>
    <t>미장동</t>
  </si>
  <si>
    <t>선변서신고을</t>
  </si>
  <si>
    <t>서신동</t>
  </si>
  <si>
    <t>세븐팰리스데시앙</t>
  </si>
  <si>
    <t>주공3차</t>
  </si>
  <si>
    <t>광진선수촌</t>
  </si>
  <si>
    <t>송천동</t>
    <phoneticPr fontId="2" type="noConversion"/>
  </si>
  <si>
    <t>태양</t>
  </si>
  <si>
    <t>엘에이치비엘로스</t>
  </si>
  <si>
    <t>제일1차</t>
  </si>
  <si>
    <t>서신동</t>
    <phoneticPr fontId="2" type="noConversion"/>
  </si>
  <si>
    <t>모아엘가</t>
  </si>
  <si>
    <t>신흥장미2</t>
  </si>
  <si>
    <t>성산</t>
  </si>
  <si>
    <t>덕천하이트</t>
  </si>
  <si>
    <t>온천마을제일</t>
  </si>
  <si>
    <t>정읍상동대광로제비앙</t>
  </si>
  <si>
    <t>효자동</t>
    <phoneticPr fontId="2" type="noConversion"/>
  </si>
  <si>
    <t>전주첨단코아루1차</t>
  </si>
  <si>
    <t>동산동제일2차아파트</t>
  </si>
  <si>
    <t>영무예다음</t>
  </si>
  <si>
    <t>쌍용서신</t>
  </si>
  <si>
    <t>호반베르디움5단지</t>
  </si>
  <si>
    <t>서부신시가지코아루해피트리</t>
  </si>
  <si>
    <t>현대아파트</t>
  </si>
  <si>
    <t>미장동</t>
    <phoneticPr fontId="2" type="noConversion"/>
  </si>
  <si>
    <t>개나리2차</t>
  </si>
  <si>
    <t>월드컵이지움</t>
  </si>
  <si>
    <t>평화주공1,2</t>
  </si>
  <si>
    <t>동아한일</t>
  </si>
  <si>
    <t>팔복동남양임대</t>
  </si>
  <si>
    <t>현대(2차)</t>
  </si>
  <si>
    <t>군산디오션시티푸르지오</t>
  </si>
  <si>
    <t>태평아이파크</t>
  </si>
  <si>
    <t>제일아파트</t>
  </si>
  <si>
    <t>현대</t>
  </si>
  <si>
    <t>현대파인빌</t>
  </si>
  <si>
    <t>호반베르디움</t>
  </si>
  <si>
    <t>전주혁신중흥에스클래스</t>
  </si>
  <si>
    <t>나운동보람더하임</t>
  </si>
  <si>
    <t>한성</t>
  </si>
  <si>
    <t>유토피아아파트</t>
  </si>
  <si>
    <t>고산동우더리치</t>
  </si>
  <si>
    <t>삼소(동원)</t>
  </si>
  <si>
    <t>[표2] 구분별 연도별 납부금액 비율</t>
    <phoneticPr fontId="2" type="noConversion"/>
  </si>
  <si>
    <t>납부코드</t>
    <phoneticPr fontId="2" type="noConversion"/>
  </si>
  <si>
    <t>세목</t>
    <phoneticPr fontId="2" type="noConversion"/>
  </si>
  <si>
    <t>납부금액</t>
    <phoneticPr fontId="2" type="noConversion"/>
  </si>
  <si>
    <t>납부일자</t>
    <phoneticPr fontId="2" type="noConversion"/>
  </si>
  <si>
    <t>납부기관</t>
    <phoneticPr fontId="2" type="noConversion"/>
  </si>
  <si>
    <t>납부방법</t>
    <phoneticPr fontId="2" type="noConversion"/>
  </si>
  <si>
    <t>과세대상</t>
    <phoneticPr fontId="2" type="noConversion"/>
  </si>
  <si>
    <t>취득세 주택</t>
    <phoneticPr fontId="2" type="noConversion"/>
  </si>
  <si>
    <t>지방세</t>
    <phoneticPr fontId="2" type="noConversion"/>
  </si>
  <si>
    <t>2025.05.12</t>
    <phoneticPr fontId="2" type="noConversion"/>
  </si>
  <si>
    <t>CARD</t>
    <phoneticPr fontId="2" type="noConversion"/>
  </si>
  <si>
    <t>지방소득세</t>
    <phoneticPr fontId="2" type="noConversion"/>
  </si>
  <si>
    <t>2025.06.18</t>
    <phoneticPr fontId="2" type="noConversion"/>
  </si>
  <si>
    <t>K-PAY</t>
    <phoneticPr fontId="2" type="noConversion"/>
  </si>
  <si>
    <t>세외수입</t>
    <phoneticPr fontId="2" type="noConversion"/>
  </si>
  <si>
    <t>자동차세</t>
    <phoneticPr fontId="2" type="noConversion"/>
  </si>
  <si>
    <t>2025.01.29</t>
    <phoneticPr fontId="2" type="noConversion"/>
  </si>
  <si>
    <t>BANK</t>
    <phoneticPr fontId="2" type="noConversion"/>
  </si>
  <si>
    <t>재산세 주택</t>
    <phoneticPr fontId="2" type="noConversion"/>
  </si>
  <si>
    <t>2025.12.24</t>
    <phoneticPr fontId="2" type="noConversion"/>
  </si>
  <si>
    <t>주정차 과태료</t>
    <phoneticPr fontId="2" type="noConversion"/>
  </si>
  <si>
    <t>2025.02.24</t>
    <phoneticPr fontId="2" type="noConversion"/>
  </si>
  <si>
    <t>[표3] 세목별 최고 납부금액의 납부일자</t>
    <phoneticPr fontId="2" type="noConversion"/>
  </si>
  <si>
    <t>무단투기 과태료</t>
    <phoneticPr fontId="2" type="noConversion"/>
  </si>
  <si>
    <t>2025.07.22</t>
    <phoneticPr fontId="2" type="noConversion"/>
  </si>
  <si>
    <t>주민세 개인균등분</t>
    <phoneticPr fontId="2" type="noConversion"/>
  </si>
  <si>
    <t>2025.04.15</t>
    <phoneticPr fontId="2" type="noConversion"/>
  </si>
  <si>
    <t>등록세</t>
    <phoneticPr fontId="2" type="noConversion"/>
  </si>
  <si>
    <t>2023.08.14</t>
    <phoneticPr fontId="2" type="noConversion"/>
  </si>
  <si>
    <t>면허세</t>
    <phoneticPr fontId="2" type="noConversion"/>
  </si>
  <si>
    <t>2025.06.05</t>
    <phoneticPr fontId="2" type="noConversion"/>
  </si>
  <si>
    <t>2024.05.25</t>
    <phoneticPr fontId="2" type="noConversion"/>
  </si>
  <si>
    <t>2024.01.15</t>
    <phoneticPr fontId="2" type="noConversion"/>
  </si>
  <si>
    <t>2024.12.22</t>
    <phoneticPr fontId="2" type="noConversion"/>
  </si>
  <si>
    <t>2024.04.11</t>
    <phoneticPr fontId="2" type="noConversion"/>
  </si>
  <si>
    <t>2023.05.12</t>
    <phoneticPr fontId="2" type="noConversion"/>
  </si>
  <si>
    <t>2023.01.23</t>
    <phoneticPr fontId="2" type="noConversion"/>
  </si>
  <si>
    <t>2023.12.11</t>
    <phoneticPr fontId="2" type="noConversion"/>
  </si>
  <si>
    <t>2023.04.04</t>
    <phoneticPr fontId="2" type="noConversion"/>
  </si>
  <si>
    <t>2024.02.02</t>
    <phoneticPr fontId="2" type="noConversion"/>
  </si>
  <si>
    <t>2024.11.10</t>
    <phoneticPr fontId="2" type="noConversion"/>
  </si>
  <si>
    <t>2023.08.09</t>
    <phoneticPr fontId="2" type="noConversion"/>
  </si>
  <si>
    <t>2023.07.22</t>
    <phoneticPr fontId="2" type="noConversion"/>
  </si>
  <si>
    <t>2024.05.05</t>
    <phoneticPr fontId="2" type="noConversion"/>
  </si>
  <si>
    <t>2023.08.11</t>
    <phoneticPr fontId="2" type="noConversion"/>
  </si>
  <si>
    <t>상위 상여금 평균</t>
    <phoneticPr fontId="2" type="noConversion"/>
  </si>
  <si>
    <t>상여비율</t>
    <phoneticPr fontId="2" type="noConversion"/>
  </si>
  <si>
    <t>판매실적</t>
    <phoneticPr fontId="2" type="noConversion"/>
  </si>
  <si>
    <t>성과급</t>
    <phoneticPr fontId="2" type="noConversion"/>
  </si>
  <si>
    <t>&lt;=15000</t>
    <phoneticPr fontId="2" type="noConversion"/>
  </si>
  <si>
    <t>&lt;=1000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</si>
</sst>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_(* #,##0_);_(* \(#,##0\);_(* &quot;-&quot;_);_(@_)"/>
    <numFmt numFmtId="177" formatCode="0.0%"/>
    <numFmt numFmtId="178" formatCode="yy&quot;-&quot;mm&quot;-&quot;dd"/>
    <numFmt numFmtId="179" formatCode="mm&quot;월&quot;\ d&quot;일&quot;;@"/>
    <numFmt numFmtId="180" formatCode="General&quot;년 이상&quot;"/>
    <numFmt numFmtId="181" formatCode="General&quot;년 미만&quot;"/>
    <numFmt numFmtId="182" formatCode="General&quot;개월&quot;"/>
    <numFmt numFmtId="183" formatCode="#,##0\ &quot;이상&quot;"/>
    <numFmt numFmtId="184" formatCode="General&quot;위&quot;"/>
    <numFmt numFmtId="185" formatCode="#,##0\ &quot;미만&quot;"/>
    <numFmt numFmtId="186" formatCode="0_ "/>
    <numFmt numFmtId="187" formatCode="&quot;~&quot;\ General"/>
    <numFmt numFmtId="188" formatCode="#,##0_ "/>
    <numFmt numFmtId="189" formatCode="yyyy/mm"/>
    <numFmt numFmtId="190" formatCode="0_);[Red]\(0\)"/>
    <numFmt numFmtId="191" formatCode="_-* #,##0.0_-;\-* #,##0.0_-;_-* &quot;-&quot;?_-;_-@_-"/>
    <numFmt numFmtId="192" formatCode="0.0_ "/>
    <numFmt numFmtId="193" formatCode="hh:mm"/>
    <numFmt numFmtId="194" formatCode="General&quot;시간초과&quot;"/>
    <numFmt numFmtId="195" formatCode="General&quot;시간이전&quot;"/>
    <numFmt numFmtId="196" formatCode="General&quot;대&quot;"/>
    <numFmt numFmtId="197" formatCode="General&quot;초과&quot;"/>
    <numFmt numFmtId="198" formatCode="General&quot;이하&quot;"/>
    <numFmt numFmtId="199" formatCode="yyyy\.mm\.dd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2"/>
      <color theme="1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/>
    <xf numFmtId="42" fontId="3" fillId="0" borderId="0" applyFont="0" applyFill="0" applyBorder="0" applyAlignment="0" applyProtection="0"/>
    <xf numFmtId="0" fontId="7" fillId="0" borderId="0"/>
    <xf numFmtId="42" fontId="1" fillId="0" borderId="0" applyFont="0" applyFill="0" applyBorder="0" applyAlignment="0" applyProtection="0">
      <alignment vertical="center"/>
    </xf>
    <xf numFmtId="0" fontId="1" fillId="10" borderId="9" applyNumberFormat="0" applyFont="0" applyAlignment="0" applyProtection="0">
      <alignment vertical="center"/>
    </xf>
  </cellStyleXfs>
  <cellXfs count="116">
    <xf numFmtId="0" fontId="0" fillId="0" borderId="0" xfId="0">
      <alignment vertical="center"/>
    </xf>
    <xf numFmtId="14" fontId="0" fillId="0" borderId="1" xfId="0" applyNumberFormat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4" fillId="0" borderId="1" xfId="3" applyNumberFormat="1" applyFont="1" applyBorder="1"/>
    <xf numFmtId="42" fontId="4" fillId="0" borderId="1" xfId="4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4" fillId="3" borderId="1" xfId="3" applyFont="1" applyFill="1" applyBorder="1"/>
    <xf numFmtId="0" fontId="5" fillId="0" borderId="0" xfId="0" applyFont="1">
      <alignment vertical="center"/>
    </xf>
    <xf numFmtId="9" fontId="0" fillId="0" borderId="1" xfId="2" applyFont="1" applyBorder="1" applyAlignment="1">
      <alignment vertical="center"/>
    </xf>
    <xf numFmtId="41" fontId="0" fillId="0" borderId="1" xfId="1" applyFon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41" fontId="0" fillId="4" borderId="1" xfId="1" applyFont="1" applyFill="1" applyBorder="1">
      <alignment vertical="center"/>
    </xf>
    <xf numFmtId="42" fontId="0" fillId="0" borderId="1" xfId="1" applyNumberFormat="1" applyFont="1" applyBorder="1">
      <alignment vertical="center"/>
    </xf>
    <xf numFmtId="177" fontId="0" fillId="0" borderId="1" xfId="2" applyNumberFormat="1" applyFont="1" applyBorder="1">
      <alignment vertical="center"/>
    </xf>
    <xf numFmtId="9" fontId="0" fillId="0" borderId="1" xfId="2" applyFont="1" applyBorder="1" applyAlignment="1">
      <alignment horizontal="center" vertical="center"/>
    </xf>
    <xf numFmtId="6" fontId="0" fillId="0" borderId="1" xfId="1" applyNumberFormat="1" applyFont="1" applyBorder="1">
      <alignment vertical="center"/>
    </xf>
    <xf numFmtId="14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2" applyFont="1" applyBorder="1">
      <alignment vertical="center"/>
    </xf>
    <xf numFmtId="179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80" fontId="6" fillId="7" borderId="1" xfId="0" applyNumberFormat="1" applyFont="1" applyFill="1" applyBorder="1" applyAlignment="1">
      <alignment horizontal="center" vertical="center"/>
    </xf>
    <xf numFmtId="181" fontId="6" fillId="7" borderId="1" xfId="0" applyNumberFormat="1" applyFont="1" applyFill="1" applyBorder="1" applyAlignment="1">
      <alignment horizontal="center" vertical="center"/>
    </xf>
    <xf numFmtId="0" fontId="8" fillId="0" borderId="1" xfId="5" applyFont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8" fillId="0" borderId="1" xfId="5" applyFont="1" applyBorder="1" applyAlignment="1">
      <alignment horizontal="center" vertical="center" wrapText="1"/>
    </xf>
    <xf numFmtId="14" fontId="8" fillId="0" borderId="1" xfId="5" applyNumberFormat="1" applyFont="1" applyBorder="1" applyAlignment="1">
      <alignment horizontal="center" vertical="center" wrapText="1"/>
    </xf>
    <xf numFmtId="41" fontId="8" fillId="0" borderId="1" xfId="1" applyFont="1" applyFill="1" applyBorder="1" applyAlignment="1">
      <alignment vertical="center" wrapText="1"/>
    </xf>
    <xf numFmtId="182" fontId="8" fillId="0" borderId="1" xfId="5" applyNumberFormat="1" applyFont="1" applyBorder="1" applyAlignment="1">
      <alignment vertical="center" wrapText="1"/>
    </xf>
    <xf numFmtId="41" fontId="0" fillId="0" borderId="1" xfId="1" applyFont="1" applyFill="1" applyBorder="1" applyAlignment="1">
      <alignment vertical="center"/>
    </xf>
    <xf numFmtId="42" fontId="0" fillId="0" borderId="1" xfId="6" applyFont="1" applyFill="1" applyBorder="1" applyAlignment="1">
      <alignment vertical="center"/>
    </xf>
    <xf numFmtId="183" fontId="0" fillId="0" borderId="1" xfId="0" applyNumberFormat="1" applyBorder="1" applyAlignment="1">
      <alignment horizontal="center" vertical="center"/>
    </xf>
    <xf numFmtId="184" fontId="0" fillId="9" borderId="1" xfId="0" applyNumberFormat="1" applyFill="1" applyBorder="1" applyAlignment="1">
      <alignment horizontal="center" vertical="center"/>
    </xf>
    <xf numFmtId="185" fontId="0" fillId="0" borderId="1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86" fontId="0" fillId="0" borderId="2" xfId="0" applyNumberFormat="1" applyBorder="1" applyAlignment="1">
      <alignment horizontal="right" vertical="center"/>
    </xf>
    <xf numFmtId="187" fontId="0" fillId="0" borderId="4" xfId="0" applyNumberFormat="1" applyBorder="1" applyAlignment="1">
      <alignment horizontal="left" vertical="center"/>
    </xf>
    <xf numFmtId="41" fontId="0" fillId="0" borderId="0" xfId="1" applyFont="1" applyBorder="1">
      <alignment vertical="center"/>
    </xf>
    <xf numFmtId="0" fontId="0" fillId="5" borderId="0" xfId="0" applyFill="1" applyAlignment="1">
      <alignment horizontal="right" vertical="center"/>
    </xf>
    <xf numFmtId="14" fontId="0" fillId="5" borderId="0" xfId="0" applyNumberFormat="1" applyFill="1">
      <alignment vertical="center"/>
    </xf>
    <xf numFmtId="0" fontId="0" fillId="0" borderId="1" xfId="0" quotePrefix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189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6" fillId="7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90" fontId="6" fillId="0" borderId="1" xfId="0" applyNumberFormat="1" applyFont="1" applyBorder="1">
      <alignment vertical="center"/>
    </xf>
    <xf numFmtId="190" fontId="6" fillId="0" borderId="1" xfId="1" applyNumberFormat="1" applyFont="1" applyBorder="1" applyAlignment="1">
      <alignment vertical="center"/>
    </xf>
    <xf numFmtId="41" fontId="6" fillId="0" borderId="1" xfId="1" applyFont="1" applyBorder="1" applyAlignment="1">
      <alignment horizontal="center" vertical="center"/>
    </xf>
    <xf numFmtId="191" fontId="0" fillId="0" borderId="0" xfId="0" applyNumberFormat="1">
      <alignment vertical="center"/>
    </xf>
    <xf numFmtId="41" fontId="0" fillId="0" borderId="0" xfId="1" applyFont="1">
      <alignment vertical="center"/>
    </xf>
    <xf numFmtId="0" fontId="6" fillId="0" borderId="1" xfId="7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92" fontId="0" fillId="0" borderId="0" xfId="0" applyNumberFormat="1" applyAlignment="1">
      <alignment horizontal="center" vertical="center"/>
    </xf>
    <xf numFmtId="41" fontId="5" fillId="0" borderId="0" xfId="1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20" fontId="5" fillId="11" borderId="1" xfId="0" applyNumberFormat="1" applyFont="1" applyFill="1" applyBorder="1" applyAlignment="1">
      <alignment horizontal="center" vertical="center"/>
    </xf>
    <xf numFmtId="193" fontId="0" fillId="0" borderId="1" xfId="0" applyNumberFormat="1" applyBorder="1" applyAlignment="1">
      <alignment horizontal="center" vertical="center"/>
    </xf>
    <xf numFmtId="194" fontId="0" fillId="0" borderId="1" xfId="0" applyNumberFormat="1" applyBorder="1" applyAlignment="1">
      <alignment horizontal="center" vertical="center"/>
    </xf>
    <xf numFmtId="195" fontId="0" fillId="0" borderId="1" xfId="0" applyNumberFormat="1" applyBorder="1" applyAlignment="1">
      <alignment horizontal="center" vertical="center"/>
    </xf>
    <xf numFmtId="0" fontId="0" fillId="11" borderId="1" xfId="0" applyFill="1" applyBorder="1">
      <alignment vertical="center"/>
    </xf>
    <xf numFmtId="196" fontId="0" fillId="11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88" fontId="0" fillId="0" borderId="1" xfId="1" applyNumberFormat="1" applyFont="1" applyBorder="1" applyAlignment="1">
      <alignment horizontal="center" vertical="center"/>
    </xf>
    <xf numFmtId="197" fontId="0" fillId="0" borderId="1" xfId="0" applyNumberFormat="1" applyBorder="1" applyAlignment="1">
      <alignment horizontal="center" vertical="center"/>
    </xf>
    <xf numFmtId="198" fontId="0" fillId="0" borderId="1" xfId="0" applyNumberFormat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0" fontId="0" fillId="0" borderId="0" xfId="2" applyNumberFormat="1" applyFont="1">
      <alignment vertical="center"/>
    </xf>
    <xf numFmtId="41" fontId="0" fillId="0" borderId="4" xfId="1" applyFont="1" applyBorder="1">
      <alignment vertical="center"/>
    </xf>
    <xf numFmtId="6" fontId="0" fillId="0" borderId="4" xfId="0" applyNumberFormat="1" applyBorder="1" applyAlignment="1">
      <alignment horizontal="right" vertical="center"/>
    </xf>
    <xf numFmtId="6" fontId="0" fillId="0" borderId="0" xfId="0" applyNumberFormat="1">
      <alignment vertical="center"/>
    </xf>
    <xf numFmtId="0" fontId="0" fillId="5" borderId="1" xfId="0" applyFill="1" applyBorder="1" applyAlignment="1">
      <alignment horizontal="center" vertical="center"/>
    </xf>
    <xf numFmtId="199" fontId="0" fillId="0" borderId="0" xfId="0" applyNumberFormat="1">
      <alignment vertical="center"/>
    </xf>
    <xf numFmtId="176" fontId="0" fillId="0" borderId="0" xfId="0" applyNumberFormat="1">
      <alignment vertical="center"/>
    </xf>
    <xf numFmtId="6" fontId="0" fillId="0" borderId="1" xfId="0" applyNumberFormat="1" applyBorder="1" applyAlignment="1">
      <alignment horizontal="right" vertical="center"/>
    </xf>
    <xf numFmtId="176" fontId="0" fillId="0" borderId="1" xfId="1" applyNumberFormat="1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188" fontId="6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9" fillId="0" borderId="0" xfId="0" applyFont="1">
      <alignment vertical="center"/>
    </xf>
  </cellXfs>
  <cellStyles count="8">
    <cellStyle name="메모" xfId="7" builtinId="10"/>
    <cellStyle name="백분율" xfId="2" builtinId="5"/>
    <cellStyle name="쉼표 [0]" xfId="1" builtinId="6"/>
    <cellStyle name="통화 [0]" xfId="6" builtinId="7"/>
    <cellStyle name="통화 [0] 2" xfId="4" xr:uid="{00000000-0005-0000-0000-000004000000}"/>
    <cellStyle name="표준" xfId="0" builtinId="0"/>
    <cellStyle name="표준 2" xfId="3" xr:uid="{00000000-0005-0000-0000-000006000000}"/>
    <cellStyle name="표준_계산작업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6"/>
  <sheetViews>
    <sheetView topLeftCell="A16" workbookViewId="0">
      <selection activeCell="B4" sqref="B4"/>
    </sheetView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0</v>
      </c>
      <c r="E1" t="s">
        <v>6</v>
      </c>
    </row>
    <row r="2" spans="1:6">
      <c r="A2" s="30" t="s">
        <v>329</v>
      </c>
      <c r="B2" s="29" t="s">
        <v>330</v>
      </c>
      <c r="E2" s="30" t="s">
        <v>331</v>
      </c>
      <c r="F2" s="29" t="s">
        <v>332</v>
      </c>
    </row>
    <row r="3" spans="1:6">
      <c r="A3" s="30">
        <v>300</v>
      </c>
      <c r="B3" s="30" t="str">
        <f>COUNTIFS($E$9:$E$35,"&lt;="&amp;A3,$B$9:$B$35,"="&amp;"*영") &amp; "건"</f>
        <v>7건</v>
      </c>
      <c r="E3" s="30" t="s">
        <v>333</v>
      </c>
      <c r="F3" s="30" t="str">
        <f t="array" ref="F3">INDEX($B$9:$B$35,MATCH(LARGE(($C$9:$C$35=$E3)*($D$9:$D$35),3),$D$9:$D$35,0),1)</f>
        <v>장동욱</v>
      </c>
    </row>
    <row r="4" spans="1:6">
      <c r="A4" s="30">
        <v>600</v>
      </c>
      <c r="B4" s="30">
        <f>COUNTIFS($E$9:$E$35,"&lt;="&amp;A4,$B$9:$B$35,"="&amp;"*영")</f>
        <v>12</v>
      </c>
      <c r="E4" s="30" t="s">
        <v>334</v>
      </c>
      <c r="F4" s="30" t="str">
        <f t="array" ref="F4">INDEX($B$9:$B$35,MATCH(LARGE(($C$9:$C$35=$E4)*($D$9:$D$35),3),$D$9:$D$35,0),1)</f>
        <v>장동욱</v>
      </c>
    </row>
    <row r="5" spans="1:6">
      <c r="A5" s="30">
        <v>1000</v>
      </c>
      <c r="B5" s="30">
        <f>COUNTIFS($E$9:$E$35,"&lt;="&amp;A5,$B$9:$B$35,"="&amp;"*영")</f>
        <v>16</v>
      </c>
      <c r="E5" s="30" t="s">
        <v>335</v>
      </c>
      <c r="F5" s="30" t="str">
        <f t="array" ref="F5">INDEX($B$9:$B$35,MATCH(LARGE(($C$9:$C$35=$E5)*($D$9:$D$35),3),$D$9:$D$35,0),1)</f>
        <v>도부영</v>
      </c>
    </row>
    <row r="6" spans="1:6">
      <c r="E6" s="30" t="s">
        <v>336</v>
      </c>
      <c r="F6" s="30" t="str">
        <f t="array" ref="F6">INDEX($B$9:$B$35,MATCH(LARGE(($C$9:$C$35=$E6)*($D$9:$D$35),3),$D$9:$D$35,0),1)</f>
        <v>배무영</v>
      </c>
    </row>
    <row r="7" spans="1:6">
      <c r="A7" t="s">
        <v>56</v>
      </c>
    </row>
    <row r="8" spans="1:6">
      <c r="A8" s="30" t="s">
        <v>337</v>
      </c>
      <c r="B8" s="30" t="s">
        <v>332</v>
      </c>
      <c r="C8" s="30" t="s">
        <v>331</v>
      </c>
      <c r="D8" s="30" t="s">
        <v>338</v>
      </c>
      <c r="E8" s="30" t="s">
        <v>329</v>
      </c>
      <c r="F8" s="30" t="s">
        <v>173</v>
      </c>
    </row>
    <row r="9" spans="1:6">
      <c r="A9" s="26">
        <v>43842</v>
      </c>
      <c r="B9" s="30" t="s">
        <v>339</v>
      </c>
      <c r="C9" s="30" t="s">
        <v>333</v>
      </c>
      <c r="D9" s="30">
        <v>63</v>
      </c>
      <c r="E9" s="30">
        <v>48</v>
      </c>
      <c r="F9" s="30"/>
    </row>
    <row r="10" spans="1:6">
      <c r="A10" s="26">
        <v>43842</v>
      </c>
      <c r="B10" s="30" t="s">
        <v>339</v>
      </c>
      <c r="C10" s="30" t="s">
        <v>334</v>
      </c>
      <c r="D10" s="30">
        <v>37</v>
      </c>
      <c r="E10" s="30">
        <v>331</v>
      </c>
      <c r="F10" s="30"/>
    </row>
    <row r="11" spans="1:6">
      <c r="A11" s="26">
        <v>43842</v>
      </c>
      <c r="B11" s="30" t="s">
        <v>340</v>
      </c>
      <c r="C11" s="30" t="s">
        <v>335</v>
      </c>
      <c r="D11" s="30">
        <v>70</v>
      </c>
      <c r="E11" s="30">
        <v>433</v>
      </c>
      <c r="F11" s="30"/>
    </row>
    <row r="12" spans="1:6">
      <c r="A12" s="26">
        <v>43842</v>
      </c>
      <c r="B12" s="30" t="s">
        <v>341</v>
      </c>
      <c r="C12" s="30" t="s">
        <v>336</v>
      </c>
      <c r="D12" s="30">
        <v>11</v>
      </c>
      <c r="E12" s="30">
        <v>362</v>
      </c>
      <c r="F12" s="30"/>
    </row>
    <row r="13" spans="1:6">
      <c r="A13" s="26">
        <v>43842</v>
      </c>
      <c r="B13" s="30" t="s">
        <v>341</v>
      </c>
      <c r="C13" s="30" t="s">
        <v>336</v>
      </c>
      <c r="D13" s="30">
        <v>28</v>
      </c>
      <c r="E13" s="30">
        <v>2</v>
      </c>
      <c r="F13" s="30" t="s">
        <v>342</v>
      </c>
    </row>
    <row r="14" spans="1:6">
      <c r="A14" s="26">
        <v>43843</v>
      </c>
      <c r="B14" s="30" t="s">
        <v>339</v>
      </c>
      <c r="C14" s="30" t="s">
        <v>335</v>
      </c>
      <c r="D14" s="30">
        <v>28</v>
      </c>
      <c r="E14" s="30">
        <v>62</v>
      </c>
      <c r="F14" s="30"/>
    </row>
    <row r="15" spans="1:6">
      <c r="A15" s="26">
        <v>43843</v>
      </c>
      <c r="B15" s="30" t="s">
        <v>339</v>
      </c>
      <c r="C15" s="30" t="s">
        <v>335</v>
      </c>
      <c r="D15" s="30">
        <v>42</v>
      </c>
      <c r="E15" s="30">
        <v>3</v>
      </c>
      <c r="F15" s="30" t="s">
        <v>342</v>
      </c>
    </row>
    <row r="16" spans="1:6">
      <c r="A16" s="26">
        <v>43843</v>
      </c>
      <c r="B16" s="30" t="s">
        <v>340</v>
      </c>
      <c r="C16" s="30" t="s">
        <v>336</v>
      </c>
      <c r="D16" s="30">
        <v>67</v>
      </c>
      <c r="E16" s="30">
        <v>76</v>
      </c>
      <c r="F16" s="30"/>
    </row>
    <row r="17" spans="1:6">
      <c r="A17" s="26">
        <v>43843</v>
      </c>
      <c r="B17" s="30" t="s">
        <v>341</v>
      </c>
      <c r="C17" s="30" t="s">
        <v>333</v>
      </c>
      <c r="D17" s="30">
        <v>83</v>
      </c>
      <c r="E17" s="30">
        <v>471</v>
      </c>
      <c r="F17" s="30"/>
    </row>
    <row r="18" spans="1:6">
      <c r="A18" s="26">
        <v>43843</v>
      </c>
      <c r="B18" s="30" t="s">
        <v>341</v>
      </c>
      <c r="C18" s="30" t="s">
        <v>334</v>
      </c>
      <c r="D18" s="30">
        <v>36</v>
      </c>
      <c r="E18" s="30">
        <v>750</v>
      </c>
      <c r="F18" s="30"/>
    </row>
    <row r="19" spans="1:6">
      <c r="A19" s="26">
        <v>43844</v>
      </c>
      <c r="B19" s="30" t="s">
        <v>339</v>
      </c>
      <c r="C19" s="30" t="s">
        <v>335</v>
      </c>
      <c r="D19" s="30">
        <v>13</v>
      </c>
      <c r="E19" s="30">
        <v>914</v>
      </c>
      <c r="F19" s="30"/>
    </row>
    <row r="20" spans="1:6">
      <c r="A20" s="26">
        <v>43844</v>
      </c>
      <c r="B20" s="30" t="s">
        <v>340</v>
      </c>
      <c r="C20" s="30" t="s">
        <v>333</v>
      </c>
      <c r="D20" s="30">
        <v>97</v>
      </c>
      <c r="E20" s="30">
        <v>790</v>
      </c>
      <c r="F20" s="30"/>
    </row>
    <row r="21" spans="1:6">
      <c r="A21" s="26">
        <v>43844</v>
      </c>
      <c r="B21" s="30" t="s">
        <v>340</v>
      </c>
      <c r="C21" s="30" t="s">
        <v>334</v>
      </c>
      <c r="D21" s="30">
        <v>91</v>
      </c>
      <c r="E21" s="30">
        <v>356</v>
      </c>
      <c r="F21" s="30"/>
    </row>
    <row r="22" spans="1:6">
      <c r="A22" s="26">
        <v>43844</v>
      </c>
      <c r="B22" s="30" t="s">
        <v>341</v>
      </c>
      <c r="C22" s="30" t="s">
        <v>335</v>
      </c>
      <c r="D22" s="30">
        <v>5</v>
      </c>
      <c r="E22" s="30">
        <v>336</v>
      </c>
      <c r="F22" s="30"/>
    </row>
    <row r="23" spans="1:6">
      <c r="A23" s="26">
        <v>43844</v>
      </c>
      <c r="B23" s="30" t="s">
        <v>341</v>
      </c>
      <c r="C23" s="30" t="s">
        <v>335</v>
      </c>
      <c r="D23" s="30">
        <v>14</v>
      </c>
      <c r="E23" s="30">
        <v>4</v>
      </c>
      <c r="F23" s="30" t="s">
        <v>342</v>
      </c>
    </row>
    <row r="24" spans="1:6">
      <c r="A24" s="26">
        <v>43845</v>
      </c>
      <c r="B24" s="30" t="s">
        <v>339</v>
      </c>
      <c r="C24" s="30" t="s">
        <v>333</v>
      </c>
      <c r="D24" s="30">
        <v>16</v>
      </c>
      <c r="E24" s="30">
        <v>322</v>
      </c>
      <c r="F24" s="30"/>
    </row>
    <row r="25" spans="1:6">
      <c r="A25" s="26">
        <v>43845</v>
      </c>
      <c r="B25" s="30" t="s">
        <v>339</v>
      </c>
      <c r="C25" s="30" t="s">
        <v>334</v>
      </c>
      <c r="D25" s="30">
        <v>32</v>
      </c>
      <c r="E25" s="30">
        <v>247</v>
      </c>
      <c r="F25" s="30"/>
    </row>
    <row r="26" spans="1:6">
      <c r="A26" s="26">
        <v>43845</v>
      </c>
      <c r="B26" s="30" t="s">
        <v>340</v>
      </c>
      <c r="C26" s="30" t="s">
        <v>335</v>
      </c>
      <c r="D26" s="30">
        <v>11</v>
      </c>
      <c r="E26" s="30">
        <v>365</v>
      </c>
      <c r="F26" s="30"/>
    </row>
    <row r="27" spans="1:6">
      <c r="A27" s="26">
        <v>43845</v>
      </c>
      <c r="B27" s="30" t="s">
        <v>341</v>
      </c>
      <c r="C27" s="30" t="s">
        <v>336</v>
      </c>
      <c r="D27" s="30">
        <v>85</v>
      </c>
      <c r="E27" s="30">
        <v>423</v>
      </c>
      <c r="F27" s="30"/>
    </row>
    <row r="28" spans="1:6">
      <c r="A28" s="26">
        <v>43846</v>
      </c>
      <c r="B28" s="30" t="s">
        <v>339</v>
      </c>
      <c r="C28" s="30" t="s">
        <v>335</v>
      </c>
      <c r="D28" s="30">
        <v>94</v>
      </c>
      <c r="E28" s="30">
        <v>177</v>
      </c>
      <c r="F28" s="30"/>
    </row>
    <row r="29" spans="1:6">
      <c r="A29" s="26">
        <v>43846</v>
      </c>
      <c r="B29" s="30" t="s">
        <v>340</v>
      </c>
      <c r="C29" s="30" t="s">
        <v>336</v>
      </c>
      <c r="D29" s="30">
        <v>56</v>
      </c>
      <c r="E29" s="30">
        <v>209</v>
      </c>
      <c r="F29" s="30"/>
    </row>
    <row r="30" spans="1:6">
      <c r="A30" s="26">
        <v>43846</v>
      </c>
      <c r="B30" s="30" t="s">
        <v>341</v>
      </c>
      <c r="C30" s="30" t="s">
        <v>333</v>
      </c>
      <c r="D30" s="30">
        <v>44</v>
      </c>
      <c r="E30" s="30">
        <v>5</v>
      </c>
      <c r="F30" s="30" t="s">
        <v>342</v>
      </c>
    </row>
    <row r="31" spans="1:6">
      <c r="A31" s="26">
        <v>43846</v>
      </c>
      <c r="B31" s="30" t="s">
        <v>341</v>
      </c>
      <c r="C31" s="30" t="s">
        <v>334</v>
      </c>
      <c r="D31" s="30">
        <v>51</v>
      </c>
      <c r="E31" s="30">
        <v>908</v>
      </c>
      <c r="F31" s="30"/>
    </row>
    <row r="32" spans="1:6">
      <c r="A32" s="26">
        <v>43847</v>
      </c>
      <c r="B32" s="30" t="s">
        <v>339</v>
      </c>
      <c r="C32" s="30" t="s">
        <v>335</v>
      </c>
      <c r="D32" s="30">
        <v>11</v>
      </c>
      <c r="E32" s="30">
        <v>626</v>
      </c>
      <c r="F32" s="30"/>
    </row>
    <row r="33" spans="1:11">
      <c r="A33" s="26">
        <v>43847</v>
      </c>
      <c r="B33" s="30" t="s">
        <v>340</v>
      </c>
      <c r="C33" s="30" t="s">
        <v>336</v>
      </c>
      <c r="D33" s="30">
        <v>38</v>
      </c>
      <c r="E33" s="30">
        <v>874</v>
      </c>
      <c r="F33" s="30"/>
    </row>
    <row r="34" spans="1:11">
      <c r="A34" s="26">
        <v>43847</v>
      </c>
      <c r="B34" s="30" t="s">
        <v>341</v>
      </c>
      <c r="C34" s="30" t="s">
        <v>333</v>
      </c>
      <c r="D34" s="30">
        <v>74</v>
      </c>
      <c r="E34" s="30">
        <v>359</v>
      </c>
      <c r="F34" s="30"/>
    </row>
    <row r="35" spans="1:11">
      <c r="A35" s="26">
        <v>43847</v>
      </c>
      <c r="B35" s="30" t="s">
        <v>341</v>
      </c>
      <c r="C35" s="30" t="s">
        <v>334</v>
      </c>
      <c r="D35" s="30">
        <v>95</v>
      </c>
      <c r="E35" s="30">
        <v>767</v>
      </c>
      <c r="F35" s="30"/>
    </row>
    <row r="37" spans="1:11">
      <c r="A37" t="s">
        <v>28</v>
      </c>
    </row>
    <row r="38" spans="1:11">
      <c r="A38" s="30" t="s">
        <v>343</v>
      </c>
      <c r="B38" s="29" t="s">
        <v>344</v>
      </c>
      <c r="C38" s="30" t="s">
        <v>345</v>
      </c>
      <c r="D38" s="30" t="s">
        <v>346</v>
      </c>
      <c r="E38" s="29" t="s">
        <v>347</v>
      </c>
      <c r="F38" s="29" t="s">
        <v>348</v>
      </c>
    </row>
    <row r="39" spans="1:11">
      <c r="A39" s="30" t="s">
        <v>349</v>
      </c>
      <c r="B39" s="30" t="str">
        <f>UPPER(SUBSTITUTE($A39,"0","9"))</f>
        <v>Y291K</v>
      </c>
      <c r="C39" s="30" t="s">
        <v>350</v>
      </c>
      <c r="D39" s="9">
        <v>45</v>
      </c>
      <c r="E39" s="9">
        <f>D39*_xlfn.XLOOKUP(RIGHT(A39,1),$H$42:$H$46,$I$42:$I$46,0,0,)-(D39*_xlfn.XLOOKUP(RIGHT(A39,1),$H$42:$H$46,$I$42:$I$46,0,0,)*_xlfn.XLOOKUP(RIGHT(A39,1),$H$42:$H$46,$J$42:$J$46,0,0,))</f>
        <v>128250</v>
      </c>
      <c r="F39" s="9">
        <f>fn이익금(E39,C39,D39)</f>
        <v>38475</v>
      </c>
      <c r="K39" s="33"/>
    </row>
    <row r="40" spans="1:11">
      <c r="A40" s="30" t="s">
        <v>351</v>
      </c>
      <c r="B40" s="30" t="str">
        <f t="shared" ref="B40:B46" si="0">UPPER(SUBSTITUTE($A40,"0","9"))</f>
        <v>B459N</v>
      </c>
      <c r="C40" s="30" t="s">
        <v>352</v>
      </c>
      <c r="D40" s="9">
        <v>89</v>
      </c>
      <c r="E40" s="9">
        <f t="shared" ref="E40:E46" si="1">D40*_xlfn.XLOOKUP(RIGHT(A40,1),$H$42:$H$46,$I$42:$I$46,0,0,)-(D40*_xlfn.XLOOKUP(RIGHT(A40,1),$H$42:$H$46,$I$42:$I$46,0,0,)*_xlfn.XLOOKUP(RIGHT(A40,1),$H$42:$H$46,$J$42:$J$46,0,0,))</f>
        <v>372465</v>
      </c>
      <c r="F40" s="9">
        <f t="shared" ref="F40:F46" si="2">fn이익금(E40,C40,D40)</f>
        <v>111739.50000000003</v>
      </c>
      <c r="H40" t="s">
        <v>425</v>
      </c>
      <c r="K40" s="33"/>
    </row>
    <row r="41" spans="1:11">
      <c r="A41" s="30" t="s">
        <v>353</v>
      </c>
      <c r="B41" s="30" t="str">
        <f t="shared" si="0"/>
        <v>Y293D</v>
      </c>
      <c r="C41" s="30" t="s">
        <v>354</v>
      </c>
      <c r="D41" s="9">
        <v>230</v>
      </c>
      <c r="E41" s="9">
        <f t="shared" si="1"/>
        <v>338100</v>
      </c>
      <c r="F41" s="9">
        <f t="shared" si="2"/>
        <v>169050</v>
      </c>
      <c r="H41" s="30" t="s">
        <v>355</v>
      </c>
      <c r="I41" s="6" t="s">
        <v>356</v>
      </c>
      <c r="J41" s="30" t="s">
        <v>171</v>
      </c>
      <c r="K41" s="33"/>
    </row>
    <row r="42" spans="1:11">
      <c r="A42" s="30" t="s">
        <v>357</v>
      </c>
      <c r="B42" s="30" t="str">
        <f t="shared" si="0"/>
        <v>Y912G</v>
      </c>
      <c r="C42" s="30" t="s">
        <v>358</v>
      </c>
      <c r="D42" s="9">
        <v>30</v>
      </c>
      <c r="E42" s="9">
        <f t="shared" si="1"/>
        <v>151200</v>
      </c>
      <c r="F42" s="9">
        <f t="shared" si="2"/>
        <v>45360</v>
      </c>
      <c r="H42" s="30" t="s">
        <v>359</v>
      </c>
      <c r="I42" s="6">
        <v>3000</v>
      </c>
      <c r="J42" s="25">
        <v>0.05</v>
      </c>
      <c r="K42" s="33"/>
    </row>
    <row r="43" spans="1:11">
      <c r="A43" s="30" t="s">
        <v>360</v>
      </c>
      <c r="B43" s="30" t="str">
        <f t="shared" si="0"/>
        <v>Y395K</v>
      </c>
      <c r="C43" s="30" t="s">
        <v>350</v>
      </c>
      <c r="D43" s="9">
        <v>120</v>
      </c>
      <c r="E43" s="9">
        <f t="shared" si="1"/>
        <v>342000</v>
      </c>
      <c r="F43" s="9">
        <f t="shared" si="2"/>
        <v>102600.00000000003</v>
      </c>
      <c r="H43" s="30" t="s">
        <v>361</v>
      </c>
      <c r="I43" s="6">
        <v>4500</v>
      </c>
      <c r="J43" s="25">
        <v>7.0000000000000007E-2</v>
      </c>
      <c r="K43" s="33"/>
    </row>
    <row r="44" spans="1:11">
      <c r="A44" s="30" t="s">
        <v>362</v>
      </c>
      <c r="B44" s="30" t="str">
        <f t="shared" si="0"/>
        <v>Y365Y</v>
      </c>
      <c r="C44" s="30" t="s">
        <v>363</v>
      </c>
      <c r="D44" s="9">
        <v>120</v>
      </c>
      <c r="E44" s="9">
        <f t="shared" si="1"/>
        <v>360960</v>
      </c>
      <c r="F44" s="9">
        <f t="shared" si="2"/>
        <v>180480</v>
      </c>
      <c r="H44" s="30" t="s">
        <v>364</v>
      </c>
      <c r="I44" s="6">
        <v>1500</v>
      </c>
      <c r="J44" s="25">
        <v>0.02</v>
      </c>
      <c r="K44" s="33"/>
    </row>
    <row r="45" spans="1:11">
      <c r="A45" s="30" t="s">
        <v>365</v>
      </c>
      <c r="B45" s="30" t="str">
        <f t="shared" si="0"/>
        <v>B394N</v>
      </c>
      <c r="C45" s="30" t="s">
        <v>352</v>
      </c>
      <c r="D45" s="9">
        <v>325</v>
      </c>
      <c r="E45" s="9">
        <f t="shared" si="1"/>
        <v>1360125</v>
      </c>
      <c r="F45" s="9">
        <f t="shared" si="2"/>
        <v>408037.50000000012</v>
      </c>
      <c r="H45" s="30" t="s">
        <v>366</v>
      </c>
      <c r="I45" s="6">
        <v>5600</v>
      </c>
      <c r="J45" s="25">
        <v>0.1</v>
      </c>
      <c r="K45" s="33"/>
    </row>
    <row r="46" spans="1:11">
      <c r="A46" s="30" t="s">
        <v>367</v>
      </c>
      <c r="B46" s="30" t="str">
        <f t="shared" si="0"/>
        <v>B123D</v>
      </c>
      <c r="C46" s="30" t="s">
        <v>354</v>
      </c>
      <c r="D46" s="9">
        <v>60</v>
      </c>
      <c r="E46" s="9">
        <f t="shared" si="1"/>
        <v>88200</v>
      </c>
      <c r="F46" s="9">
        <f t="shared" si="2"/>
        <v>26460.000000000007</v>
      </c>
      <c r="H46" s="30" t="s">
        <v>368</v>
      </c>
      <c r="I46" s="6">
        <v>3200</v>
      </c>
      <c r="J46" s="25">
        <v>0.06</v>
      </c>
      <c r="K46" s="33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P25"/>
  <sheetViews>
    <sheetView tabSelected="1" workbookViewId="0">
      <selection activeCell="S18" sqref="S18"/>
    </sheetView>
  </sheetViews>
  <sheetFormatPr defaultRowHeight="16.5"/>
  <cols>
    <col min="7" max="7" width="5.25" bestFit="1" customWidth="1"/>
    <col min="10" max="10" width="2.875" customWidth="1"/>
    <col min="11" max="11" width="7.5" customWidth="1"/>
    <col min="12" max="14" width="7.25" customWidth="1"/>
    <col min="15" max="16" width="4.875" customWidth="1"/>
  </cols>
  <sheetData>
    <row r="1" spans="1:16">
      <c r="A1" t="s">
        <v>0</v>
      </c>
      <c r="K1" t="s">
        <v>6</v>
      </c>
      <c r="L1" t="s">
        <v>369</v>
      </c>
    </row>
    <row r="2" spans="1:16">
      <c r="A2" s="30" t="s">
        <v>197</v>
      </c>
      <c r="B2" s="30" t="s">
        <v>370</v>
      </c>
      <c r="C2" s="30" t="s">
        <v>371</v>
      </c>
      <c r="D2" s="30" t="s">
        <v>372</v>
      </c>
      <c r="E2" s="30" t="s">
        <v>373</v>
      </c>
      <c r="F2" s="30" t="s">
        <v>223</v>
      </c>
      <c r="G2" s="29" t="s">
        <v>298</v>
      </c>
      <c r="H2" s="29" t="s">
        <v>374</v>
      </c>
      <c r="I2" s="30" t="s">
        <v>375</v>
      </c>
      <c r="K2" s="102" t="s">
        <v>376</v>
      </c>
      <c r="L2" s="103"/>
      <c r="M2" s="30" t="s">
        <v>298</v>
      </c>
      <c r="N2" s="29">
        <v>1</v>
      </c>
      <c r="O2" s="29">
        <v>2</v>
      </c>
      <c r="P2" s="29">
        <v>3</v>
      </c>
    </row>
    <row r="3" spans="1:16">
      <c r="A3" s="30" t="s">
        <v>244</v>
      </c>
      <c r="B3" s="6">
        <v>63</v>
      </c>
      <c r="C3" s="6">
        <v>53</v>
      </c>
      <c r="D3" s="6">
        <v>75</v>
      </c>
      <c r="E3" s="6"/>
      <c r="F3" s="6">
        <v>63.7</v>
      </c>
      <c r="G3" s="30" t="str">
        <f>VLOOKUP(F3,$K$3:$M$11,3,TRUE)</f>
        <v>D</v>
      </c>
      <c r="H3" s="30" t="str">
        <f>sh판정(B3,C3,D3,E3,F3)</f>
        <v>불합격</v>
      </c>
      <c r="I3" s="6">
        <v>1</v>
      </c>
      <c r="K3" s="30">
        <v>0</v>
      </c>
      <c r="L3" s="30">
        <v>59</v>
      </c>
      <c r="M3" s="6" t="s">
        <v>377</v>
      </c>
      <c r="N3" s="6"/>
      <c r="O3" s="6"/>
      <c r="P3" s="6"/>
    </row>
    <row r="4" spans="1:16">
      <c r="A4" s="30" t="s">
        <v>246</v>
      </c>
      <c r="B4" s="6">
        <v>80</v>
      </c>
      <c r="C4" s="6">
        <v>58</v>
      </c>
      <c r="D4" s="6">
        <v>94</v>
      </c>
      <c r="E4" s="6"/>
      <c r="F4" s="6">
        <v>77.3</v>
      </c>
      <c r="G4" s="30" t="str">
        <f t="shared" ref="G4:G23" si="0">VLOOKUP(F4,$K$3:$M$11,3,TRUE)</f>
        <v>C+</v>
      </c>
      <c r="H4" s="30" t="str">
        <f t="shared" ref="H4:H23" si="1">sh판정(B4,C4,D4,E4,F4)</f>
        <v>합격77</v>
      </c>
      <c r="I4" s="6">
        <v>2</v>
      </c>
      <c r="K4" s="30">
        <v>60</v>
      </c>
      <c r="L4" s="30">
        <v>64</v>
      </c>
      <c r="M4" s="6" t="s">
        <v>311</v>
      </c>
      <c r="N4" s="6"/>
      <c r="O4" s="6"/>
      <c r="P4" s="6"/>
    </row>
    <row r="5" spans="1:16">
      <c r="A5" s="30" t="s">
        <v>248</v>
      </c>
      <c r="B5" s="6">
        <v>91</v>
      </c>
      <c r="C5" s="6">
        <v>66</v>
      </c>
      <c r="D5" s="6">
        <v>89</v>
      </c>
      <c r="E5" s="6">
        <v>2</v>
      </c>
      <c r="F5" s="6">
        <v>82</v>
      </c>
      <c r="G5" s="30" t="str">
        <f t="shared" si="0"/>
        <v>B</v>
      </c>
      <c r="H5" s="30" t="str">
        <f t="shared" si="1"/>
        <v>합격82</v>
      </c>
      <c r="I5" s="6">
        <v>3</v>
      </c>
      <c r="K5" s="30">
        <v>65</v>
      </c>
      <c r="L5" s="30">
        <v>69</v>
      </c>
      <c r="M5" s="6" t="s">
        <v>378</v>
      </c>
      <c r="N5" s="6"/>
      <c r="O5" s="6"/>
      <c r="P5" s="6"/>
    </row>
    <row r="6" spans="1:16">
      <c r="A6" s="30" t="s">
        <v>250</v>
      </c>
      <c r="B6" s="6">
        <v>67</v>
      </c>
      <c r="C6" s="6">
        <v>66</v>
      </c>
      <c r="D6" s="6">
        <v>88</v>
      </c>
      <c r="E6" s="6"/>
      <c r="F6" s="6">
        <v>73.7</v>
      </c>
      <c r="G6" s="30" t="str">
        <f t="shared" si="0"/>
        <v>C</v>
      </c>
      <c r="H6" s="30" t="str">
        <f t="shared" si="1"/>
        <v>합격73</v>
      </c>
      <c r="I6" s="6">
        <v>1</v>
      </c>
      <c r="K6" s="30">
        <v>70</v>
      </c>
      <c r="L6" s="30">
        <v>74</v>
      </c>
      <c r="M6" s="6" t="s">
        <v>312</v>
      </c>
      <c r="N6" s="6"/>
      <c r="O6" s="6"/>
      <c r="P6" s="6"/>
    </row>
    <row r="7" spans="1:16">
      <c r="A7" s="30" t="s">
        <v>251</v>
      </c>
      <c r="B7" s="6">
        <v>96</v>
      </c>
      <c r="C7" s="6">
        <v>91</v>
      </c>
      <c r="D7" s="6">
        <v>99</v>
      </c>
      <c r="E7" s="6"/>
      <c r="F7" s="6">
        <v>95.3</v>
      </c>
      <c r="G7" s="30" t="str">
        <f t="shared" si="0"/>
        <v>A+</v>
      </c>
      <c r="H7" s="30" t="str">
        <f t="shared" si="1"/>
        <v>합격95</v>
      </c>
      <c r="I7" s="6">
        <v>2</v>
      </c>
      <c r="K7" s="30">
        <v>75</v>
      </c>
      <c r="L7" s="30">
        <v>79</v>
      </c>
      <c r="M7" s="6" t="s">
        <v>379</v>
      </c>
      <c r="N7" s="6"/>
      <c r="O7" s="6"/>
      <c r="P7" s="6"/>
    </row>
    <row r="8" spans="1:16">
      <c r="A8" s="30" t="s">
        <v>255</v>
      </c>
      <c r="B8" s="6">
        <v>79</v>
      </c>
      <c r="C8" s="6">
        <v>70</v>
      </c>
      <c r="D8" s="6">
        <v>86</v>
      </c>
      <c r="E8" s="6">
        <v>1</v>
      </c>
      <c r="F8" s="6">
        <v>78.3</v>
      </c>
      <c r="G8" s="30" t="str">
        <f t="shared" si="0"/>
        <v>C+</v>
      </c>
      <c r="H8" s="30" t="str">
        <f t="shared" si="1"/>
        <v>합격78</v>
      </c>
      <c r="I8" s="6">
        <v>3</v>
      </c>
      <c r="K8" s="30">
        <v>80</v>
      </c>
      <c r="L8" s="30">
        <v>84</v>
      </c>
      <c r="M8" s="6" t="s">
        <v>164</v>
      </c>
      <c r="N8" s="6"/>
      <c r="O8" s="6"/>
      <c r="P8" s="6"/>
    </row>
    <row r="9" spans="1:16">
      <c r="A9" s="30" t="s">
        <v>258</v>
      </c>
      <c r="B9" s="6">
        <v>96</v>
      </c>
      <c r="C9" s="6">
        <v>90</v>
      </c>
      <c r="D9" s="6">
        <v>84</v>
      </c>
      <c r="E9" s="6"/>
      <c r="F9" s="6">
        <v>90</v>
      </c>
      <c r="G9" s="30" t="str">
        <f t="shared" si="0"/>
        <v>A</v>
      </c>
      <c r="H9" s="30" t="str">
        <f t="shared" si="1"/>
        <v>합격90</v>
      </c>
      <c r="I9" s="6">
        <v>1</v>
      </c>
      <c r="K9" s="30">
        <v>85</v>
      </c>
      <c r="L9" s="30">
        <v>89</v>
      </c>
      <c r="M9" s="6" t="s">
        <v>380</v>
      </c>
      <c r="N9" s="6"/>
      <c r="O9" s="6"/>
      <c r="P9" s="6"/>
    </row>
    <row r="10" spans="1:16">
      <c r="A10" s="30" t="s">
        <v>259</v>
      </c>
      <c r="B10" s="6">
        <v>86</v>
      </c>
      <c r="C10" s="6">
        <v>87</v>
      </c>
      <c r="D10" s="6">
        <v>84</v>
      </c>
      <c r="E10" s="6"/>
      <c r="F10" s="6">
        <v>85.7</v>
      </c>
      <c r="G10" s="30" t="str">
        <f t="shared" si="0"/>
        <v>B+</v>
      </c>
      <c r="H10" s="30" t="str">
        <f t="shared" si="1"/>
        <v>합격85</v>
      </c>
      <c r="I10" s="6">
        <v>2</v>
      </c>
      <c r="K10" s="30">
        <v>90</v>
      </c>
      <c r="L10" s="30">
        <v>94</v>
      </c>
      <c r="M10" s="6" t="s">
        <v>163</v>
      </c>
      <c r="N10" s="6"/>
      <c r="O10" s="6"/>
      <c r="P10" s="6"/>
    </row>
    <row r="11" spans="1:16">
      <c r="A11" s="30" t="s">
        <v>260</v>
      </c>
      <c r="B11" s="6">
        <v>50</v>
      </c>
      <c r="C11" s="6">
        <v>60</v>
      </c>
      <c r="D11" s="6">
        <v>55</v>
      </c>
      <c r="E11" s="6">
        <v>3</v>
      </c>
      <c r="F11" s="6">
        <v>55</v>
      </c>
      <c r="G11" s="30" t="str">
        <f t="shared" si="0"/>
        <v>F</v>
      </c>
      <c r="H11" s="30" t="str">
        <f t="shared" si="1"/>
        <v>불합격</v>
      </c>
      <c r="I11" s="6">
        <v>3</v>
      </c>
      <c r="K11" s="30">
        <v>95</v>
      </c>
      <c r="L11" s="30">
        <v>100</v>
      </c>
      <c r="M11" s="6" t="s">
        <v>313</v>
      </c>
      <c r="N11" s="6"/>
      <c r="O11" s="6"/>
      <c r="P11" s="6"/>
    </row>
    <row r="12" spans="1:16">
      <c r="A12" s="30" t="s">
        <v>262</v>
      </c>
      <c r="B12" s="6">
        <v>77</v>
      </c>
      <c r="C12" s="6">
        <v>80</v>
      </c>
      <c r="D12" s="6">
        <v>78</v>
      </c>
      <c r="E12" s="6"/>
      <c r="F12" s="6">
        <v>78.3</v>
      </c>
      <c r="G12" s="30" t="str">
        <f t="shared" si="0"/>
        <v>C+</v>
      </c>
      <c r="H12" s="30" t="str">
        <f t="shared" si="1"/>
        <v>합격78</v>
      </c>
      <c r="I12" s="6">
        <v>1</v>
      </c>
    </row>
    <row r="13" spans="1:16">
      <c r="A13" s="30" t="s">
        <v>381</v>
      </c>
      <c r="B13" s="6">
        <v>54</v>
      </c>
      <c r="C13" s="6">
        <v>75</v>
      </c>
      <c r="D13" s="6">
        <v>77</v>
      </c>
      <c r="E13" s="6"/>
      <c r="F13" s="6">
        <v>68.7</v>
      </c>
      <c r="G13" s="30" t="str">
        <f t="shared" si="0"/>
        <v>D+</v>
      </c>
      <c r="H13" s="30" t="str">
        <f t="shared" si="1"/>
        <v>불합격</v>
      </c>
      <c r="I13" s="6">
        <v>2</v>
      </c>
    </row>
    <row r="14" spans="1:16">
      <c r="A14" s="30" t="s">
        <v>382</v>
      </c>
      <c r="B14" s="6">
        <v>63</v>
      </c>
      <c r="C14" s="6">
        <v>83</v>
      </c>
      <c r="D14" s="6">
        <v>75</v>
      </c>
      <c r="E14" s="6">
        <v>1</v>
      </c>
      <c r="F14" s="6">
        <v>73.7</v>
      </c>
      <c r="G14" s="30" t="str">
        <f t="shared" si="0"/>
        <v>C</v>
      </c>
      <c r="H14" s="30" t="str">
        <f t="shared" si="1"/>
        <v>합격73</v>
      </c>
      <c r="I14" s="6">
        <v>3</v>
      </c>
    </row>
    <row r="15" spans="1:16">
      <c r="A15" s="30" t="s">
        <v>383</v>
      </c>
      <c r="B15" s="6">
        <v>81</v>
      </c>
      <c r="C15" s="6">
        <v>84</v>
      </c>
      <c r="D15" s="6">
        <v>73</v>
      </c>
      <c r="E15" s="6"/>
      <c r="F15" s="6">
        <v>79.3</v>
      </c>
      <c r="G15" s="30" t="str">
        <f t="shared" si="0"/>
        <v>C+</v>
      </c>
      <c r="H15" s="30" t="str">
        <f t="shared" si="1"/>
        <v>합격79</v>
      </c>
      <c r="I15" s="6">
        <v>1</v>
      </c>
      <c r="K15" t="s">
        <v>56</v>
      </c>
      <c r="L15" t="s">
        <v>384</v>
      </c>
    </row>
    <row r="16" spans="1:16">
      <c r="A16" s="30" t="s">
        <v>385</v>
      </c>
      <c r="B16" s="6">
        <v>68</v>
      </c>
      <c r="C16" s="6">
        <v>89</v>
      </c>
      <c r="D16" s="6">
        <v>72</v>
      </c>
      <c r="E16" s="6"/>
      <c r="F16" s="6">
        <v>76.3</v>
      </c>
      <c r="G16" s="30" t="str">
        <f t="shared" si="0"/>
        <v>C+</v>
      </c>
      <c r="H16" s="30" t="str">
        <f t="shared" si="1"/>
        <v>합격76</v>
      </c>
      <c r="I16" s="6">
        <v>2</v>
      </c>
      <c r="K16" s="8">
        <v>1</v>
      </c>
      <c r="L16" s="8">
        <v>2</v>
      </c>
      <c r="M16" s="8">
        <v>3</v>
      </c>
    </row>
    <row r="17" spans="1:15">
      <c r="A17" s="30" t="s">
        <v>386</v>
      </c>
      <c r="B17" s="6">
        <v>88</v>
      </c>
      <c r="C17" s="6">
        <v>89</v>
      </c>
      <c r="D17" s="6">
        <v>66</v>
      </c>
      <c r="E17" s="6"/>
      <c r="F17" s="6">
        <v>81</v>
      </c>
      <c r="G17" s="30" t="str">
        <f t="shared" si="0"/>
        <v>B</v>
      </c>
      <c r="H17" s="30" t="str">
        <f t="shared" si="1"/>
        <v>합격81</v>
      </c>
      <c r="I17" s="6">
        <v>3</v>
      </c>
      <c r="K17" s="6">
        <f t="array" ref="K17">INT(AVERAGE( IF( ($I$3:$I$23=K$16)*( MAX( IF(($I$3:$I$23=K$16), $F$3:$F$23) )&lt;&gt;$F$3:$F$23 ), $F$3:$F$23)))</f>
        <v>75</v>
      </c>
      <c r="L17" s="6">
        <f t="array" ref="L17">INT(AVERAGE( IF( ($I$3:$I$23=L$16)*( MAX( IF(($I$3:$I$23=L$16), $F$3:$F$23) )&lt;&gt;$F$3:$F$23 ), $F$3:$F$23)))</f>
        <v>76</v>
      </c>
      <c r="M17" s="6">
        <f t="array" ref="M17">INT(AVERAGE( IF( ($I$3:$I$23=M$16)*( MAX( IF(($I$3:$I$23=M$16), $F$3:$F$23) )&lt;&gt;$F$3:$F$23 ), $F$3:$F$23)))</f>
        <v>73</v>
      </c>
    </row>
    <row r="18" spans="1:15">
      <c r="A18" s="30" t="s">
        <v>387</v>
      </c>
      <c r="B18" s="6">
        <v>75</v>
      </c>
      <c r="C18" s="6">
        <v>91</v>
      </c>
      <c r="D18" s="6">
        <v>65</v>
      </c>
      <c r="E18" s="6"/>
      <c r="F18" s="6">
        <v>77</v>
      </c>
      <c r="G18" s="30" t="str">
        <f t="shared" si="0"/>
        <v>C+</v>
      </c>
      <c r="H18" s="30" t="str">
        <f t="shared" si="1"/>
        <v>합격77</v>
      </c>
      <c r="I18" s="6">
        <v>1</v>
      </c>
    </row>
    <row r="19" spans="1:15">
      <c r="A19" s="30" t="s">
        <v>388</v>
      </c>
      <c r="B19" s="6">
        <v>66</v>
      </c>
      <c r="C19" s="6">
        <v>93</v>
      </c>
      <c r="D19" s="6">
        <v>64</v>
      </c>
      <c r="E19" s="6"/>
      <c r="F19" s="6">
        <v>74.3</v>
      </c>
      <c r="G19" s="30" t="str">
        <f t="shared" si="0"/>
        <v>C</v>
      </c>
      <c r="H19" s="30" t="str">
        <f t="shared" si="1"/>
        <v>합격74</v>
      </c>
      <c r="I19" s="6">
        <v>2</v>
      </c>
      <c r="K19" t="s">
        <v>28</v>
      </c>
      <c r="L19" t="s">
        <v>427</v>
      </c>
    </row>
    <row r="20" spans="1:15">
      <c r="A20" s="30" t="s">
        <v>389</v>
      </c>
      <c r="B20" s="6">
        <v>86</v>
      </c>
      <c r="C20" s="6">
        <v>93</v>
      </c>
      <c r="D20" s="6">
        <v>61</v>
      </c>
      <c r="E20" s="6"/>
      <c r="F20" s="6">
        <v>80</v>
      </c>
      <c r="G20" s="30" t="str">
        <f t="shared" si="0"/>
        <v>B</v>
      </c>
      <c r="H20" s="30" t="str">
        <f t="shared" si="1"/>
        <v>합격80</v>
      </c>
      <c r="I20" s="6">
        <v>3</v>
      </c>
      <c r="K20" s="30" t="s">
        <v>375</v>
      </c>
      <c r="L20" s="6">
        <v>1</v>
      </c>
      <c r="M20" s="6">
        <v>2</v>
      </c>
      <c r="N20" s="6">
        <v>3</v>
      </c>
      <c r="O20" s="34"/>
    </row>
    <row r="21" spans="1:15">
      <c r="A21" s="30" t="s">
        <v>390</v>
      </c>
      <c r="B21" s="6">
        <v>90</v>
      </c>
      <c r="C21" s="6">
        <v>94</v>
      </c>
      <c r="D21" s="6">
        <v>61</v>
      </c>
      <c r="E21" s="6"/>
      <c r="F21" s="6">
        <v>81.7</v>
      </c>
      <c r="G21" s="30" t="str">
        <f t="shared" si="0"/>
        <v>B</v>
      </c>
      <c r="H21" s="30" t="str">
        <f t="shared" si="1"/>
        <v>합격81</v>
      </c>
      <c r="I21" s="6">
        <v>1</v>
      </c>
      <c r="K21" s="29" t="s">
        <v>399</v>
      </c>
      <c r="L21" s="30" t="str">
        <f t="array" ref="L21">_xlfn.XLOOKUP(MAX( IF( ($I$3:$I$23=L$20), $F$3:$F$23) ),$F$3:$F$23,$A$3:$A$23,,0,)</f>
        <v>김용철</v>
      </c>
      <c r="M21" s="30" t="str">
        <f t="array" ref="M21">_xlfn.XLOOKUP(MAX( IF( ($I$3:$I$23=M$20), $F$3:$F$23) ),$F$3:$F$23,$A$3:$A$23,,0,)</f>
        <v>김병철</v>
      </c>
      <c r="N21" s="30" t="str">
        <f t="array" ref="N21">_xlfn.XLOOKUP(MAX( IF( ($I$3:$I$23=N$20), $F$3:$F$23) ),$F$3:$F$23,$A$3:$A$23,,0,)</f>
        <v>김규한</v>
      </c>
    </row>
    <row r="22" spans="1:15">
      <c r="A22" s="30" t="s">
        <v>391</v>
      </c>
      <c r="B22" s="6">
        <v>90</v>
      </c>
      <c r="C22" s="6">
        <v>87</v>
      </c>
      <c r="D22" s="6">
        <v>53</v>
      </c>
      <c r="E22" s="6"/>
      <c r="F22" s="6">
        <v>76.7</v>
      </c>
      <c r="G22" s="30" t="str">
        <f t="shared" si="0"/>
        <v>C+</v>
      </c>
      <c r="H22" s="30" t="str">
        <f t="shared" si="1"/>
        <v>합격76</v>
      </c>
      <c r="I22" s="6">
        <v>2</v>
      </c>
    </row>
    <row r="23" spans="1:15">
      <c r="A23" s="30" t="s">
        <v>392</v>
      </c>
      <c r="B23" s="6">
        <v>74</v>
      </c>
      <c r="C23" s="6">
        <v>90</v>
      </c>
      <c r="D23" s="6">
        <v>48</v>
      </c>
      <c r="E23" s="6">
        <v>1</v>
      </c>
      <c r="F23" s="6">
        <v>70.7</v>
      </c>
      <c r="G23" s="30" t="str">
        <f t="shared" si="0"/>
        <v>C</v>
      </c>
      <c r="H23" s="30" t="str">
        <f t="shared" si="1"/>
        <v>합격70</v>
      </c>
      <c r="I23" s="6">
        <v>3</v>
      </c>
    </row>
    <row r="25" spans="1:15" ht="17.25">
      <c r="M25" s="115">
        <f>EOMONTH("2025-02-25", 0)</f>
        <v>45716</v>
      </c>
    </row>
  </sheetData>
  <mergeCells count="1">
    <mergeCell ref="K2:L2"/>
  </mergeCells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D405C-89BC-41C7-84C7-D9B603446DFB}">
  <sheetPr codeName="Sheet11"/>
  <dimension ref="B2:O23"/>
  <sheetViews>
    <sheetView workbookViewId="0">
      <selection activeCell="R19" sqref="R19"/>
    </sheetView>
  </sheetViews>
  <sheetFormatPr defaultRowHeight="16.5"/>
  <cols>
    <col min="1" max="1" width="1.625" customWidth="1"/>
    <col min="4" max="5" width="10.375" bestFit="1" customWidth="1"/>
    <col min="6" max="6" width="18.25" bestFit="1" customWidth="1"/>
    <col min="7" max="7" width="10.375" bestFit="1" customWidth="1"/>
    <col min="9" max="10" width="12.375" bestFit="1" customWidth="1"/>
    <col min="11" max="11" width="2.75" customWidth="1"/>
    <col min="12" max="12" width="11.125" customWidth="1"/>
    <col min="13" max="13" width="13.375" customWidth="1"/>
    <col min="14" max="14" width="18.25" customWidth="1"/>
    <col min="15" max="15" width="7.125" bestFit="1" customWidth="1"/>
  </cols>
  <sheetData>
    <row r="2" spans="2:15">
      <c r="B2" t="s">
        <v>393</v>
      </c>
      <c r="L2" t="s">
        <v>394</v>
      </c>
    </row>
    <row r="3" spans="2:15">
      <c r="B3" s="30" t="s">
        <v>786</v>
      </c>
      <c r="C3" s="58" t="s">
        <v>787</v>
      </c>
      <c r="D3" s="30" t="s">
        <v>788</v>
      </c>
      <c r="E3" s="30" t="s">
        <v>789</v>
      </c>
      <c r="F3" s="30" t="s">
        <v>790</v>
      </c>
      <c r="G3" s="30" t="s">
        <v>791</v>
      </c>
      <c r="H3" s="58" t="s">
        <v>792</v>
      </c>
      <c r="I3" s="30" t="s">
        <v>793</v>
      </c>
      <c r="J3" s="58" t="s">
        <v>794</v>
      </c>
      <c r="L3" s="30" t="s">
        <v>795</v>
      </c>
      <c r="M3" s="58" t="s">
        <v>796</v>
      </c>
    </row>
    <row r="4" spans="2:15">
      <c r="B4" s="30" t="s">
        <v>797</v>
      </c>
      <c r="C4" s="30" t="str">
        <f>VLOOKUP(MID($B4,1,2),$L$13:$O$18,MATCH(MID($B4,3,2),$M$12:$O$12,0)+1)</f>
        <v>홍길동</v>
      </c>
      <c r="D4" s="30">
        <v>145</v>
      </c>
      <c r="E4" s="30">
        <v>28</v>
      </c>
      <c r="F4" s="30">
        <v>32</v>
      </c>
      <c r="G4" s="30">
        <f>SUM(D4:F4)</f>
        <v>205</v>
      </c>
      <c r="H4" s="30" t="str">
        <f>fn중요도(G4,D4)</f>
        <v>★</v>
      </c>
      <c r="I4" s="30" t="s">
        <v>798</v>
      </c>
      <c r="J4" s="30" t="str">
        <f>IF(RIGHT(I4,3)&lt;=100,SUBSTITUTE(I4,"A","J"),IF(RIGHT(I4,3)&lt;=200,SUBSTITUTE(I4,"G","D"),SUBSTITUTE(I4,"C","E")))</f>
        <v>123E456</v>
      </c>
      <c r="L4" s="30" t="s">
        <v>598</v>
      </c>
      <c r="M4" s="30" t="str">
        <f t="array" ref="M4">TEXT(SUM((LEFT($B$4:$B$23,2)=$L4)*($G$4:$G$23))/SUM($G$4:$G$23),"0.0%")</f>
        <v>22.4%</v>
      </c>
    </row>
    <row r="5" spans="2:15">
      <c r="B5" s="30" t="s">
        <v>799</v>
      </c>
      <c r="C5" s="30" t="e">
        <f t="shared" ref="C5:C23" si="0">VLOOKUP(MID($B5,1,2),$L$13:$O$18,MATCH(MID($B5,3,2),$M$12:$O$12,0)+1)</f>
        <v>#N/A</v>
      </c>
      <c r="D5" s="30">
        <v>80</v>
      </c>
      <c r="E5" s="30">
        <v>25</v>
      </c>
      <c r="F5" s="30">
        <v>39</v>
      </c>
      <c r="G5" s="30">
        <f t="shared" ref="G5:G23" si="1">SUM(D5:F5)</f>
        <v>144</v>
      </c>
      <c r="H5" s="30" t="str">
        <f t="shared" ref="H5:H23" si="2">fn중요도(G5,D5)</f>
        <v>☆</v>
      </c>
      <c r="I5" s="30" t="s">
        <v>800</v>
      </c>
      <c r="J5" s="30" t="str">
        <f t="shared" ref="J5:J23" si="3">IF(RIGHT(I5,3)&lt;=100,SUBSTITUTE(I5,"A","J"),IF(RIGHT(I5,3)&lt;=200,SUBSTITUTE(I5,"G","D"),SUBSTITUTE(I5,"C","E")))</f>
        <v>234A095</v>
      </c>
      <c r="L5" s="30" t="s">
        <v>801</v>
      </c>
      <c r="M5" s="30" t="str">
        <f t="array" ref="M5">TEXT(SUM((LEFT($B$4:$B$23,2)=$L5)*($G$4:$G$23))/SUM($G$4:$G$23),"0.0%")</f>
        <v>15.6%</v>
      </c>
    </row>
    <row r="6" spans="2:15">
      <c r="B6" s="30" t="s">
        <v>802</v>
      </c>
      <c r="C6" s="30" t="str">
        <f t="shared" si="0"/>
        <v>박길동</v>
      </c>
      <c r="D6" s="30">
        <v>125</v>
      </c>
      <c r="E6" s="30">
        <v>20</v>
      </c>
      <c r="F6" s="30">
        <v>40</v>
      </c>
      <c r="G6" s="30">
        <f t="shared" si="1"/>
        <v>185</v>
      </c>
      <c r="H6" s="30" t="str">
        <f t="shared" si="2"/>
        <v>☆</v>
      </c>
      <c r="I6" s="30" t="s">
        <v>803</v>
      </c>
      <c r="J6" s="30" t="str">
        <f t="shared" si="3"/>
        <v>613B571</v>
      </c>
      <c r="L6" s="30" t="s">
        <v>804</v>
      </c>
      <c r="M6" s="30" t="str">
        <f t="array" ref="M6">TEXT(SUM((LEFT($B$4:$B$23,2)=$L6)*($G$4:$G$23))/SUM($G$4:$G$23),"0.0%")</f>
        <v>18.7%</v>
      </c>
    </row>
    <row r="7" spans="2:15">
      <c r="B7" s="30" t="s">
        <v>805</v>
      </c>
      <c r="C7" s="30" t="str">
        <f t="shared" si="0"/>
        <v>이길동</v>
      </c>
      <c r="D7" s="30">
        <v>135</v>
      </c>
      <c r="E7" s="30">
        <v>39</v>
      </c>
      <c r="F7" s="30">
        <v>45</v>
      </c>
      <c r="G7" s="30">
        <f t="shared" si="1"/>
        <v>219</v>
      </c>
      <c r="H7" s="30" t="str">
        <f t="shared" si="2"/>
        <v>★</v>
      </c>
      <c r="I7" s="30" t="s">
        <v>806</v>
      </c>
      <c r="J7" s="30" t="str">
        <f t="shared" si="3"/>
        <v>973B652</v>
      </c>
      <c r="L7" s="30" t="s">
        <v>412</v>
      </c>
      <c r="M7" s="30" t="str">
        <f t="array" ref="M7">TEXT(SUM((LEFT($B$4:$B$23,2)=$L7)*($G$4:$G$23))/SUM($G$4:$G$23),"0.0%")</f>
        <v>18.0%</v>
      </c>
    </row>
    <row r="8" spans="2:15">
      <c r="B8" s="30" t="s">
        <v>807</v>
      </c>
      <c r="C8" s="30" t="str">
        <f t="shared" si="0"/>
        <v>정길동</v>
      </c>
      <c r="D8" s="30">
        <v>25</v>
      </c>
      <c r="E8" s="30">
        <v>18</v>
      </c>
      <c r="F8" s="30">
        <v>25</v>
      </c>
      <c r="G8" s="30">
        <f t="shared" si="1"/>
        <v>68</v>
      </c>
      <c r="H8" s="30" t="str">
        <f t="shared" si="2"/>
        <v/>
      </c>
      <c r="I8" s="30" t="s">
        <v>808</v>
      </c>
      <c r="J8" s="30" t="str">
        <f t="shared" si="3"/>
        <v>936G104</v>
      </c>
      <c r="L8" s="30" t="s">
        <v>809</v>
      </c>
      <c r="M8" s="30" t="str">
        <f t="array" ref="M8">TEXT(SUM((LEFT($B$4:$B$23,2)=$L8)*($G$4:$G$23))/SUM($G$4:$G$23),"0.0%")</f>
        <v>14.2%</v>
      </c>
    </row>
    <row r="9" spans="2:15">
      <c r="B9" s="30" t="s">
        <v>810</v>
      </c>
      <c r="C9" s="30" t="str">
        <f t="shared" si="0"/>
        <v>송길동</v>
      </c>
      <c r="D9" s="30">
        <v>80</v>
      </c>
      <c r="E9" s="30">
        <v>25</v>
      </c>
      <c r="F9" s="30">
        <v>39</v>
      </c>
      <c r="G9" s="30">
        <f t="shared" si="1"/>
        <v>144</v>
      </c>
      <c r="H9" s="30" t="str">
        <f t="shared" si="2"/>
        <v>☆</v>
      </c>
      <c r="I9" s="30" t="s">
        <v>811</v>
      </c>
      <c r="J9" s="30" t="str">
        <f t="shared" si="3"/>
        <v>123G182</v>
      </c>
      <c r="L9" s="30" t="s">
        <v>812</v>
      </c>
      <c r="M9" s="30" t="str">
        <f t="array" ref="M9">TEXT(SUM((LEFT($B$4:$B$23,2)=$L9)*($G$4:$G$23))/SUM($G$4:$G$23),"0.0%")</f>
        <v>11.0%</v>
      </c>
    </row>
    <row r="10" spans="2:15">
      <c r="B10" s="30" t="s">
        <v>813</v>
      </c>
      <c r="C10" s="30" t="str">
        <f t="shared" si="0"/>
        <v>홍길동</v>
      </c>
      <c r="D10" s="30">
        <v>125</v>
      </c>
      <c r="E10" s="30">
        <v>20</v>
      </c>
      <c r="F10" s="30">
        <v>40</v>
      </c>
      <c r="G10" s="30">
        <f t="shared" si="1"/>
        <v>185</v>
      </c>
      <c r="H10" s="30" t="str">
        <f t="shared" si="2"/>
        <v>☆</v>
      </c>
      <c r="I10" s="30" t="s">
        <v>814</v>
      </c>
      <c r="J10" s="30" t="str">
        <f t="shared" si="3"/>
        <v>862A071</v>
      </c>
    </row>
    <row r="11" spans="2:15">
      <c r="B11" s="30" t="s">
        <v>815</v>
      </c>
      <c r="C11" s="30" t="e">
        <f t="shared" si="0"/>
        <v>#N/A</v>
      </c>
      <c r="D11" s="30">
        <v>135</v>
      </c>
      <c r="E11" s="30">
        <v>39</v>
      </c>
      <c r="F11" s="30">
        <v>45</v>
      </c>
      <c r="G11" s="30">
        <f t="shared" si="1"/>
        <v>219</v>
      </c>
      <c r="H11" s="30" t="str">
        <f t="shared" si="2"/>
        <v>★</v>
      </c>
      <c r="I11" s="30" t="s">
        <v>816</v>
      </c>
      <c r="J11" s="30" t="str">
        <f t="shared" si="3"/>
        <v>154E865</v>
      </c>
      <c r="L11" t="s">
        <v>817</v>
      </c>
    </row>
    <row r="12" spans="2:15">
      <c r="B12" s="30" t="s">
        <v>802</v>
      </c>
      <c r="C12" s="30" t="str">
        <f t="shared" si="0"/>
        <v>박길동</v>
      </c>
      <c r="D12" s="30">
        <v>75</v>
      </c>
      <c r="E12" s="30">
        <v>18</v>
      </c>
      <c r="F12" s="30">
        <v>25</v>
      </c>
      <c r="G12" s="30">
        <f t="shared" si="1"/>
        <v>118</v>
      </c>
      <c r="H12" s="30" t="str">
        <f t="shared" si="2"/>
        <v>☆</v>
      </c>
      <c r="I12" s="30" t="s">
        <v>818</v>
      </c>
      <c r="J12" s="30" t="str">
        <f t="shared" si="3"/>
        <v>321G155</v>
      </c>
      <c r="L12" s="85" t="s">
        <v>795</v>
      </c>
      <c r="M12" s="85" t="s">
        <v>819</v>
      </c>
      <c r="N12" s="85" t="s">
        <v>820</v>
      </c>
      <c r="O12" s="85" t="s">
        <v>821</v>
      </c>
    </row>
    <row r="13" spans="2:15">
      <c r="B13" s="30" t="s">
        <v>822</v>
      </c>
      <c r="C13" s="30" t="str">
        <f t="shared" si="0"/>
        <v>이길동</v>
      </c>
      <c r="D13" s="30">
        <v>34</v>
      </c>
      <c r="E13" s="30">
        <v>25</v>
      </c>
      <c r="F13" s="30">
        <v>39</v>
      </c>
      <c r="G13" s="30">
        <f t="shared" si="1"/>
        <v>98</v>
      </c>
      <c r="H13" s="30" t="str">
        <f t="shared" si="2"/>
        <v/>
      </c>
      <c r="I13" s="30" t="s">
        <v>823</v>
      </c>
      <c r="J13" s="30" t="str">
        <f t="shared" si="3"/>
        <v>532A012</v>
      </c>
      <c r="L13" s="30" t="s">
        <v>598</v>
      </c>
      <c r="M13" s="30" t="s">
        <v>824</v>
      </c>
      <c r="N13" s="30" t="s">
        <v>824</v>
      </c>
      <c r="O13" s="30" t="s">
        <v>824</v>
      </c>
    </row>
    <row r="14" spans="2:15">
      <c r="B14" s="30" t="s">
        <v>825</v>
      </c>
      <c r="C14" s="30" t="str">
        <f t="shared" si="0"/>
        <v>정길동</v>
      </c>
      <c r="D14" s="30">
        <v>125</v>
      </c>
      <c r="E14" s="30">
        <v>20</v>
      </c>
      <c r="F14" s="30">
        <v>40</v>
      </c>
      <c r="G14" s="30">
        <f t="shared" si="1"/>
        <v>185</v>
      </c>
      <c r="H14" s="30" t="str">
        <f t="shared" si="2"/>
        <v>☆</v>
      </c>
      <c r="I14" s="30" t="s">
        <v>826</v>
      </c>
      <c r="J14" s="30" t="str">
        <f t="shared" si="3"/>
        <v>345G115</v>
      </c>
      <c r="L14" s="30" t="s">
        <v>801</v>
      </c>
      <c r="M14" s="30" t="s">
        <v>827</v>
      </c>
      <c r="N14" s="30" t="s">
        <v>827</v>
      </c>
      <c r="O14" s="30"/>
    </row>
    <row r="15" spans="2:15">
      <c r="B15" s="30" t="s">
        <v>828</v>
      </c>
      <c r="C15" s="30" t="str">
        <f t="shared" si="0"/>
        <v>송길동</v>
      </c>
      <c r="D15" s="30">
        <v>135</v>
      </c>
      <c r="E15" s="30">
        <v>39</v>
      </c>
      <c r="F15" s="30">
        <v>45</v>
      </c>
      <c r="G15" s="30">
        <f t="shared" si="1"/>
        <v>219</v>
      </c>
      <c r="H15" s="30" t="str">
        <f t="shared" si="2"/>
        <v>★</v>
      </c>
      <c r="I15" s="30" t="s">
        <v>829</v>
      </c>
      <c r="J15" s="30" t="str">
        <f t="shared" si="3"/>
        <v>652B364</v>
      </c>
      <c r="L15" s="30" t="s">
        <v>804</v>
      </c>
      <c r="M15" s="30" t="s">
        <v>830</v>
      </c>
      <c r="N15" s="30"/>
      <c r="O15" s="30"/>
    </row>
    <row r="16" spans="2:15">
      <c r="B16" s="30" t="s">
        <v>802</v>
      </c>
      <c r="C16" s="30" t="str">
        <f t="shared" si="0"/>
        <v>박길동</v>
      </c>
      <c r="D16" s="30">
        <v>75</v>
      </c>
      <c r="E16" s="30">
        <v>18</v>
      </c>
      <c r="F16" s="30">
        <v>25</v>
      </c>
      <c r="G16" s="30">
        <f t="shared" si="1"/>
        <v>118</v>
      </c>
      <c r="H16" s="30" t="str">
        <f t="shared" si="2"/>
        <v>☆</v>
      </c>
      <c r="I16" s="30" t="s">
        <v>831</v>
      </c>
      <c r="J16" s="30" t="str">
        <f t="shared" si="3"/>
        <v>845A042</v>
      </c>
      <c r="L16" s="30" t="s">
        <v>412</v>
      </c>
      <c r="M16" s="30" t="s">
        <v>832</v>
      </c>
      <c r="N16" s="30" t="s">
        <v>832</v>
      </c>
      <c r="O16" s="30"/>
    </row>
    <row r="17" spans="2:15">
      <c r="B17" s="30" t="s">
        <v>833</v>
      </c>
      <c r="C17" s="30" t="str">
        <f t="shared" si="0"/>
        <v>이길동</v>
      </c>
      <c r="D17" s="30">
        <v>80</v>
      </c>
      <c r="E17" s="30">
        <v>25</v>
      </c>
      <c r="F17" s="30">
        <v>39</v>
      </c>
      <c r="G17" s="30">
        <f t="shared" si="1"/>
        <v>144</v>
      </c>
      <c r="H17" s="30" t="str">
        <f t="shared" si="2"/>
        <v>☆</v>
      </c>
      <c r="I17" s="30" t="s">
        <v>834</v>
      </c>
      <c r="J17" s="30" t="str">
        <f t="shared" si="3"/>
        <v>951G124</v>
      </c>
      <c r="L17" s="30" t="s">
        <v>809</v>
      </c>
      <c r="M17" s="30" t="s">
        <v>835</v>
      </c>
      <c r="N17" s="30" t="s">
        <v>835</v>
      </c>
      <c r="O17" s="30" t="s">
        <v>835</v>
      </c>
    </row>
    <row r="18" spans="2:15">
      <c r="B18" s="30" t="s">
        <v>807</v>
      </c>
      <c r="C18" s="30" t="str">
        <f t="shared" si="0"/>
        <v>정길동</v>
      </c>
      <c r="D18" s="30">
        <v>45</v>
      </c>
      <c r="E18" s="30">
        <v>20</v>
      </c>
      <c r="F18" s="30">
        <v>40</v>
      </c>
      <c r="G18" s="30">
        <f t="shared" si="1"/>
        <v>105</v>
      </c>
      <c r="H18" s="30" t="str">
        <f t="shared" si="2"/>
        <v/>
      </c>
      <c r="I18" s="30" t="s">
        <v>836</v>
      </c>
      <c r="J18" s="30" t="str">
        <f t="shared" si="3"/>
        <v>325G154</v>
      </c>
      <c r="L18" s="30" t="s">
        <v>812</v>
      </c>
      <c r="M18" s="30" t="s">
        <v>837</v>
      </c>
      <c r="N18" s="30" t="s">
        <v>837</v>
      </c>
      <c r="O18" s="30"/>
    </row>
    <row r="19" spans="2:15">
      <c r="B19" s="30" t="s">
        <v>810</v>
      </c>
      <c r="C19" s="30" t="str">
        <f t="shared" si="0"/>
        <v>송길동</v>
      </c>
      <c r="D19" s="30">
        <v>135</v>
      </c>
      <c r="E19" s="30">
        <v>39</v>
      </c>
      <c r="F19" s="30">
        <v>45</v>
      </c>
      <c r="G19" s="30">
        <f t="shared" si="1"/>
        <v>219</v>
      </c>
      <c r="H19" s="30" t="str">
        <f t="shared" si="2"/>
        <v>★</v>
      </c>
      <c r="I19" s="30" t="s">
        <v>838</v>
      </c>
      <c r="J19" s="30" t="str">
        <f t="shared" si="3"/>
        <v>547E846</v>
      </c>
    </row>
    <row r="20" spans="2:15">
      <c r="B20" s="30" t="s">
        <v>839</v>
      </c>
      <c r="C20" s="30" t="str">
        <f t="shared" si="0"/>
        <v>홍길동</v>
      </c>
      <c r="D20" s="30">
        <v>75</v>
      </c>
      <c r="E20" s="30">
        <v>18</v>
      </c>
      <c r="F20" s="30">
        <v>25</v>
      </c>
      <c r="G20" s="30">
        <f t="shared" si="1"/>
        <v>118</v>
      </c>
      <c r="H20" s="30" t="str">
        <f t="shared" si="2"/>
        <v>☆</v>
      </c>
      <c r="I20" s="30" t="s">
        <v>840</v>
      </c>
      <c r="J20" s="30" t="str">
        <f t="shared" si="3"/>
        <v>412B685</v>
      </c>
      <c r="L20" t="s">
        <v>841</v>
      </c>
    </row>
    <row r="21" spans="2:15">
      <c r="B21" s="30" t="s">
        <v>815</v>
      </c>
      <c r="C21" s="30" t="e">
        <f t="shared" si="0"/>
        <v>#N/A</v>
      </c>
      <c r="D21" s="30">
        <v>80</v>
      </c>
      <c r="E21" s="30">
        <v>25</v>
      </c>
      <c r="F21" s="30">
        <v>39</v>
      </c>
      <c r="G21" s="30">
        <f t="shared" si="1"/>
        <v>144</v>
      </c>
      <c r="H21" s="30" t="str">
        <f t="shared" si="2"/>
        <v>☆</v>
      </c>
      <c r="I21" s="30" t="s">
        <v>842</v>
      </c>
      <c r="J21" s="30" t="str">
        <f t="shared" si="3"/>
        <v>872G193</v>
      </c>
      <c r="L21" s="86" t="s">
        <v>788</v>
      </c>
      <c r="M21" s="86" t="s">
        <v>789</v>
      </c>
      <c r="N21" s="86" t="s">
        <v>790</v>
      </c>
    </row>
    <row r="22" spans="2:15">
      <c r="B22" s="30" t="s">
        <v>802</v>
      </c>
      <c r="C22" s="30" t="str">
        <f t="shared" si="0"/>
        <v>박길동</v>
      </c>
      <c r="D22" s="30">
        <v>125</v>
      </c>
      <c r="E22" s="30">
        <v>20</v>
      </c>
      <c r="F22" s="30">
        <v>40</v>
      </c>
      <c r="G22" s="30">
        <f t="shared" si="1"/>
        <v>185</v>
      </c>
      <c r="H22" s="30" t="str">
        <f t="shared" si="2"/>
        <v>☆</v>
      </c>
      <c r="I22" s="30" t="s">
        <v>843</v>
      </c>
      <c r="J22" s="30" t="str">
        <f t="shared" si="3"/>
        <v>542B566</v>
      </c>
      <c r="L22" s="30" t="str">
        <f>ROUND(AVERAGE(LARGE((D$4:D$23),{1,2,3})),1) &amp; " - " &amp; ROUND(AVERAGE(SMALL((D$4:D$23),{1,2,3})),1)</f>
        <v>138.3 - 34.7</v>
      </c>
      <c r="M22" s="30" t="str">
        <f>ROUND(AVERAGE(LARGE((E$4:E$23),{1,2,3})),1) &amp; " - " &amp; ROUND(AVERAGE(SMALL((E$4:E$23),{1,2,3})),1)</f>
        <v>39 - 18</v>
      </c>
      <c r="N22" s="30" t="str">
        <f>ROUND(AVERAGE(LARGE((F$4:F$23),{1,2,3})),1) &amp; " - " &amp; ROUND(AVERAGE(SMALL((F$4:F$23),{1,2,3})),1)</f>
        <v>45 - 25</v>
      </c>
    </row>
    <row r="23" spans="2:15">
      <c r="B23" s="30" t="s">
        <v>839</v>
      </c>
      <c r="C23" s="30" t="str">
        <f t="shared" si="0"/>
        <v>홍길동</v>
      </c>
      <c r="D23" s="30">
        <v>135</v>
      </c>
      <c r="E23" s="30">
        <v>39</v>
      </c>
      <c r="F23" s="30">
        <v>45</v>
      </c>
      <c r="G23" s="30">
        <f t="shared" si="1"/>
        <v>219</v>
      </c>
      <c r="H23" s="30" t="str">
        <f t="shared" si="2"/>
        <v>★</v>
      </c>
      <c r="I23" s="30" t="s">
        <v>844</v>
      </c>
      <c r="J23" s="30" t="str">
        <f t="shared" si="3"/>
        <v>586G129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5768C-EB5C-417C-A2C3-74A7194E745D}">
  <sheetPr codeName="Sheet12"/>
  <dimension ref="A2:U23"/>
  <sheetViews>
    <sheetView workbookViewId="0">
      <selection activeCell="K16" sqref="K16:K23"/>
    </sheetView>
  </sheetViews>
  <sheetFormatPr defaultRowHeight="16.5"/>
  <cols>
    <col min="1" max="1" width="7.125" bestFit="1" customWidth="1"/>
    <col min="2" max="5" width="10.625" bestFit="1" customWidth="1"/>
    <col min="6" max="6" width="12.125" bestFit="1" customWidth="1"/>
    <col min="7" max="7" width="10" bestFit="1" customWidth="1"/>
    <col min="8" max="8" width="11.625" customWidth="1"/>
    <col min="10" max="10" width="10" bestFit="1" customWidth="1"/>
    <col min="11" max="11" width="15.125" bestFit="1" customWidth="1"/>
    <col min="12" max="12" width="5.625" customWidth="1"/>
    <col min="13" max="13" width="5.625" bestFit="1" customWidth="1"/>
    <col min="14" max="14" width="7.125" bestFit="1" customWidth="1"/>
    <col min="15" max="15" width="5.25" bestFit="1" customWidth="1"/>
    <col min="16" max="16" width="10.875" bestFit="1" customWidth="1"/>
    <col min="17" max="17" width="3" customWidth="1"/>
    <col min="19" max="19" width="14.75" customWidth="1"/>
  </cols>
  <sheetData>
    <row r="2" spans="1:21">
      <c r="A2" t="s">
        <v>393</v>
      </c>
    </row>
    <row r="3" spans="1:21">
      <c r="B3" s="104" t="s">
        <v>845</v>
      </c>
      <c r="C3" s="104"/>
      <c r="D3" s="104"/>
      <c r="E3" s="104"/>
      <c r="F3" s="104"/>
      <c r="G3" s="104"/>
      <c r="H3" s="104"/>
      <c r="J3" s="104" t="s">
        <v>846</v>
      </c>
      <c r="K3" s="104"/>
      <c r="L3" s="104"/>
      <c r="M3" s="104"/>
      <c r="N3" s="104"/>
      <c r="O3" s="104"/>
      <c r="P3" s="104"/>
      <c r="R3" t="s">
        <v>847</v>
      </c>
    </row>
    <row r="4" spans="1:21">
      <c r="A4" s="30" t="s">
        <v>848</v>
      </c>
      <c r="B4" s="30" t="s">
        <v>849</v>
      </c>
      <c r="C4" s="30" t="s">
        <v>850</v>
      </c>
      <c r="D4" s="30" t="s">
        <v>851</v>
      </c>
      <c r="E4" s="30" t="s">
        <v>852</v>
      </c>
      <c r="F4" s="30" t="s">
        <v>853</v>
      </c>
      <c r="G4" s="30" t="s">
        <v>854</v>
      </c>
      <c r="H4" s="30" t="s">
        <v>414</v>
      </c>
      <c r="I4" s="27" t="s">
        <v>855</v>
      </c>
      <c r="J4" s="30" t="s">
        <v>849</v>
      </c>
      <c r="K4" s="30" t="s">
        <v>850</v>
      </c>
      <c r="L4" s="30" t="s">
        <v>851</v>
      </c>
      <c r="M4" s="30" t="s">
        <v>852</v>
      </c>
      <c r="N4" s="30" t="s">
        <v>853</v>
      </c>
      <c r="O4" s="30" t="s">
        <v>854</v>
      </c>
      <c r="P4" s="30" t="s">
        <v>414</v>
      </c>
      <c r="R4" s="30" t="s">
        <v>849</v>
      </c>
      <c r="S4" s="27" t="s">
        <v>856</v>
      </c>
    </row>
    <row r="5" spans="1:21">
      <c r="A5" s="30">
        <v>1</v>
      </c>
      <c r="B5" s="30" t="s">
        <v>857</v>
      </c>
      <c r="C5" s="6">
        <v>27</v>
      </c>
      <c r="D5" s="6">
        <v>29</v>
      </c>
      <c r="E5" s="6">
        <v>27</v>
      </c>
      <c r="F5" s="6">
        <v>21</v>
      </c>
      <c r="G5" s="6">
        <v>18</v>
      </c>
      <c r="H5" s="6">
        <f>AVERAGE(C5:G5)</f>
        <v>24.4</v>
      </c>
      <c r="I5" s="30" t="str">
        <f t="array" ref="I5">_xlfn.CONCAT(SUM( IF( ($C5:$G5&gt;$K$5:$O$5),1 ) ),":",SUM( IF( ($C5:$G5&lt;$K$5:$O$5),1 ) ))</f>
        <v>2:3</v>
      </c>
      <c r="J5" s="30" t="s">
        <v>858</v>
      </c>
      <c r="K5" s="6">
        <v>29</v>
      </c>
      <c r="L5" s="6">
        <v>16</v>
      </c>
      <c r="M5" s="6">
        <v>18</v>
      </c>
      <c r="N5" s="6">
        <v>24</v>
      </c>
      <c r="O5" s="6">
        <v>24</v>
      </c>
      <c r="P5" s="6">
        <f>AVERAGE(K5:O5)</f>
        <v>22.2</v>
      </c>
      <c r="R5" s="30" t="s">
        <v>857</v>
      </c>
      <c r="S5" s="30" t="str">
        <f t="array" ref="S5">COUNTIF($B$5:$B$12,$R5)+COUNTIF($J$5:$J$12,$R5) &amp; "회의 평균 : " &amp; AVERAGE(IF((($B$5:$B$12)=R5),$H$5:$H$12),IF((($J$5:$J$12)=$R5),$P$5:$P$12))</f>
        <v>2회의 평균 : 23.1</v>
      </c>
    </row>
    <row r="6" spans="1:21">
      <c r="A6" s="30">
        <v>2</v>
      </c>
      <c r="B6" s="30" t="s">
        <v>859</v>
      </c>
      <c r="C6" s="6">
        <v>19</v>
      </c>
      <c r="D6" s="6">
        <v>27</v>
      </c>
      <c r="E6" s="6">
        <v>21</v>
      </c>
      <c r="F6" s="6">
        <v>27</v>
      </c>
      <c r="G6" s="6">
        <v>29</v>
      </c>
      <c r="H6" s="6">
        <f t="shared" ref="H6:H12" si="0">AVERAGE(C6:G6)</f>
        <v>24.6</v>
      </c>
      <c r="I6" s="30" t="str">
        <f t="array" ref="I6">_xlfn.CONCAT(SUM( IF( ($C6:$G6&gt;$K$5:$O$5),1 ) ),":",SUM( IF( ($C6:$G6&lt;$K$5:$O$5),1 ) ))</f>
        <v>4:1</v>
      </c>
      <c r="J6" s="30" t="s">
        <v>860</v>
      </c>
      <c r="K6" s="6">
        <v>15</v>
      </c>
      <c r="L6" s="6">
        <v>27</v>
      </c>
      <c r="M6" s="6">
        <v>26</v>
      </c>
      <c r="N6" s="6">
        <v>22</v>
      </c>
      <c r="O6" s="6">
        <v>24</v>
      </c>
      <c r="P6" s="6">
        <f t="shared" ref="P6:P12" si="1">AVERAGE(K6:O6)</f>
        <v>22.8</v>
      </c>
      <c r="R6" s="30" t="s">
        <v>859</v>
      </c>
      <c r="S6" s="30" t="str">
        <f t="array" ref="S6">COUNTIF($B$5:$B$12,$R6)+COUNTIF($J$5:$J$12,$R6) &amp; "회의 평균 : " &amp; AVERAGE(IF((($B$5:$B$12)=R6),$H$5:$H$12),IF((($J$5:$J$12)=$R6),$P$5:$P$12))</f>
        <v>2회의 평균 : 22.5</v>
      </c>
    </row>
    <row r="7" spans="1:21">
      <c r="A7" s="30">
        <v>3</v>
      </c>
      <c r="B7" s="30" t="s">
        <v>861</v>
      </c>
      <c r="C7" s="6">
        <v>24</v>
      </c>
      <c r="D7" s="6">
        <v>29</v>
      </c>
      <c r="E7" s="6">
        <v>24</v>
      </c>
      <c r="F7" s="6">
        <v>26</v>
      </c>
      <c r="G7" s="6">
        <v>23</v>
      </c>
      <c r="H7" s="6">
        <f t="shared" si="0"/>
        <v>25.2</v>
      </c>
      <c r="I7" s="30" t="str">
        <f t="array" ref="I7">_xlfn.CONCAT(SUM( IF( ($C7:$G7&gt;$K$5:$O$5),1 ) ),":",SUM( IF( ($C7:$G7&lt;$K$5:$O$5),1 ) ))</f>
        <v>3:2</v>
      </c>
      <c r="J7" s="30" t="s">
        <v>862</v>
      </c>
      <c r="K7" s="6">
        <v>15</v>
      </c>
      <c r="L7" s="6">
        <v>17</v>
      </c>
      <c r="M7" s="6">
        <v>18</v>
      </c>
      <c r="N7" s="6">
        <v>28</v>
      </c>
      <c r="O7" s="6">
        <v>19</v>
      </c>
      <c r="P7" s="6">
        <f t="shared" si="1"/>
        <v>19.399999999999999</v>
      </c>
      <c r="R7" s="30" t="s">
        <v>861</v>
      </c>
      <c r="S7" s="30" t="str">
        <f t="array" ref="S7">COUNTIF($B$5:$B$12,$R7)+COUNTIF($J$5:$J$12,$R7) &amp; "회의 평균 : " &amp; AVERAGE(IF((($B$5:$B$12)=R7),$H$5:$H$12),IF((($J$5:$J$12)=$R7),$P$5:$P$12))</f>
        <v>2회의 평균 : 24.3</v>
      </c>
    </row>
    <row r="8" spans="1:21">
      <c r="A8" s="30">
        <v>4</v>
      </c>
      <c r="B8" s="30" t="s">
        <v>857</v>
      </c>
      <c r="C8" s="6">
        <v>21</v>
      </c>
      <c r="D8" s="6">
        <v>17</v>
      </c>
      <c r="E8" s="6">
        <v>21</v>
      </c>
      <c r="F8" s="6">
        <v>27</v>
      </c>
      <c r="G8" s="6">
        <v>23</v>
      </c>
      <c r="H8" s="6">
        <f t="shared" si="0"/>
        <v>21.8</v>
      </c>
      <c r="I8" s="30" t="str">
        <f t="array" ref="I8">_xlfn.CONCAT(SUM( IF( ($C8:$G8&gt;$K$5:$O$5),1 ) ),":",SUM( IF( ($C8:$G8&lt;$K$5:$O$5),1 ) ))</f>
        <v>3:2</v>
      </c>
      <c r="J8" s="30" t="s">
        <v>862</v>
      </c>
      <c r="K8" s="6">
        <v>19</v>
      </c>
      <c r="L8" s="6">
        <v>23</v>
      </c>
      <c r="M8" s="6">
        <v>28</v>
      </c>
      <c r="N8" s="6">
        <v>16</v>
      </c>
      <c r="O8" s="6">
        <v>15</v>
      </c>
      <c r="P8" s="6">
        <f t="shared" si="1"/>
        <v>20.2</v>
      </c>
      <c r="R8" s="30" t="s">
        <v>863</v>
      </c>
      <c r="S8" s="30" t="str">
        <f t="array" ref="S8">COUNTIF($B$5:$B$12,$R8)+COUNTIF($J$5:$J$12,$R8) &amp; "회의 평균 : " &amp; AVERAGE(IF((($B$5:$B$12)=R8),$H$5:$H$12),IF((($J$5:$J$12)=$R8),$P$5:$P$12))</f>
        <v>2회의 평균 : 22.6</v>
      </c>
    </row>
    <row r="9" spans="1:21">
      <c r="A9" s="30">
        <v>5</v>
      </c>
      <c r="B9" s="30" t="s">
        <v>863</v>
      </c>
      <c r="C9" s="6">
        <v>16</v>
      </c>
      <c r="D9" s="6">
        <v>24</v>
      </c>
      <c r="E9" s="6">
        <v>25</v>
      </c>
      <c r="F9" s="6">
        <v>24</v>
      </c>
      <c r="G9" s="6">
        <v>25</v>
      </c>
      <c r="H9" s="6">
        <f t="shared" si="0"/>
        <v>22.8</v>
      </c>
      <c r="I9" s="30" t="str">
        <f t="array" ref="I9">_xlfn.CONCAT(SUM( IF( ($C9:$G9&gt;$K$5:$O$5),1 ) ),":",SUM( IF( ($C9:$G9&lt;$K$5:$O$5),1 ) ))</f>
        <v>3:1</v>
      </c>
      <c r="J9" s="30" t="s">
        <v>864</v>
      </c>
      <c r="K9" s="6">
        <v>22</v>
      </c>
      <c r="L9" s="6">
        <v>27</v>
      </c>
      <c r="M9" s="6">
        <v>15</v>
      </c>
      <c r="N9" s="6">
        <v>19</v>
      </c>
      <c r="O9" s="6">
        <v>22</v>
      </c>
      <c r="P9" s="6">
        <f t="shared" si="1"/>
        <v>21</v>
      </c>
    </row>
    <row r="10" spans="1:21">
      <c r="A10" s="30">
        <v>6</v>
      </c>
      <c r="B10" s="30" t="s">
        <v>861</v>
      </c>
      <c r="C10" s="6">
        <v>15</v>
      </c>
      <c r="D10" s="6">
        <v>28</v>
      </c>
      <c r="E10" s="6">
        <v>24</v>
      </c>
      <c r="F10" s="6">
        <v>29</v>
      </c>
      <c r="G10" s="6">
        <v>21</v>
      </c>
      <c r="H10" s="6">
        <f t="shared" si="0"/>
        <v>23.4</v>
      </c>
      <c r="I10" s="30" t="str">
        <f t="array" ref="I10">_xlfn.CONCAT(SUM( IF( ($C10:$G10&gt;$K$5:$O$5),1 ) ),":",SUM( IF( ($C10:$G10&lt;$K$5:$O$5),1 ) ))</f>
        <v>3:2</v>
      </c>
      <c r="J10" s="30" t="s">
        <v>864</v>
      </c>
      <c r="K10" s="6">
        <v>26</v>
      </c>
      <c r="L10" s="6">
        <v>26</v>
      </c>
      <c r="M10" s="6">
        <v>20</v>
      </c>
      <c r="N10" s="6">
        <v>29</v>
      </c>
      <c r="O10" s="6">
        <v>25</v>
      </c>
      <c r="P10" s="6">
        <f t="shared" si="1"/>
        <v>25.2</v>
      </c>
    </row>
    <row r="11" spans="1:21">
      <c r="A11" s="30">
        <v>7</v>
      </c>
      <c r="B11" s="30" t="s">
        <v>863</v>
      </c>
      <c r="C11" s="6">
        <v>20</v>
      </c>
      <c r="D11" s="6">
        <v>22</v>
      </c>
      <c r="E11" s="6">
        <v>16</v>
      </c>
      <c r="F11" s="6">
        <v>25</v>
      </c>
      <c r="G11" s="6">
        <v>29</v>
      </c>
      <c r="H11" s="6">
        <f t="shared" si="0"/>
        <v>22.4</v>
      </c>
      <c r="I11" s="30" t="str">
        <f t="array" ref="I11">_xlfn.CONCAT(SUM( IF( ($C11:$G11&gt;$K$5:$O$5),1 ) ),":",SUM( IF( ($C11:$G11&lt;$K$5:$O$5),1 ) ))</f>
        <v>3:2</v>
      </c>
      <c r="J11" s="30" t="s">
        <v>858</v>
      </c>
      <c r="K11" s="6">
        <v>15</v>
      </c>
      <c r="L11" s="6">
        <v>28</v>
      </c>
      <c r="M11" s="6">
        <v>27</v>
      </c>
      <c r="N11" s="6">
        <v>15</v>
      </c>
      <c r="O11" s="6">
        <v>16</v>
      </c>
      <c r="P11" s="6">
        <f t="shared" si="1"/>
        <v>20.2</v>
      </c>
    </row>
    <row r="12" spans="1:21">
      <c r="A12" s="30">
        <v>8</v>
      </c>
      <c r="B12" s="30" t="s">
        <v>859</v>
      </c>
      <c r="C12" s="6">
        <v>22</v>
      </c>
      <c r="D12" s="6">
        <v>20</v>
      </c>
      <c r="E12" s="6">
        <v>15</v>
      </c>
      <c r="F12" s="6">
        <v>29</v>
      </c>
      <c r="G12" s="6">
        <v>16</v>
      </c>
      <c r="H12" s="6">
        <f t="shared" si="0"/>
        <v>20.399999999999999</v>
      </c>
      <c r="I12" s="30" t="str">
        <f t="array" ref="I12">_xlfn.CONCAT(SUM( IF( ($C12:$G12&gt;$K$5:$O$5),1 ) ),":",SUM( IF( ($C12:$G12&lt;$K$5:$O$5),1 ) ))</f>
        <v>2:3</v>
      </c>
      <c r="J12" s="30" t="s">
        <v>860</v>
      </c>
      <c r="K12" s="6">
        <v>27</v>
      </c>
      <c r="L12" s="6">
        <v>17</v>
      </c>
      <c r="M12" s="6">
        <v>17</v>
      </c>
      <c r="N12" s="6">
        <v>25</v>
      </c>
      <c r="O12" s="6">
        <v>16</v>
      </c>
      <c r="P12" s="6">
        <f t="shared" si="1"/>
        <v>20.399999999999999</v>
      </c>
    </row>
    <row r="14" spans="1:21">
      <c r="A14" t="s">
        <v>396</v>
      </c>
      <c r="M14" t="s">
        <v>397</v>
      </c>
    </row>
    <row r="15" spans="1:21">
      <c r="A15" s="30" t="s">
        <v>849</v>
      </c>
      <c r="B15" s="30" t="s">
        <v>865</v>
      </c>
      <c r="C15" s="30" t="s">
        <v>866</v>
      </c>
      <c r="D15" s="30" t="s">
        <v>867</v>
      </c>
      <c r="E15" s="30" t="s">
        <v>868</v>
      </c>
      <c r="F15" s="27" t="s">
        <v>869</v>
      </c>
      <c r="G15" s="27" t="s">
        <v>870</v>
      </c>
      <c r="H15" s="27" t="s">
        <v>871</v>
      </c>
      <c r="I15" s="30" t="s">
        <v>872</v>
      </c>
      <c r="J15" s="27" t="s">
        <v>873</v>
      </c>
      <c r="K15" s="27" t="s">
        <v>508</v>
      </c>
      <c r="L15" s="34"/>
      <c r="M15" s="30" t="s">
        <v>874</v>
      </c>
      <c r="N15" s="30" t="s">
        <v>727</v>
      </c>
      <c r="O15" s="30" t="s">
        <v>875</v>
      </c>
      <c r="P15" s="30" t="s">
        <v>876</v>
      </c>
    </row>
    <row r="16" spans="1:21">
      <c r="A16" s="30" t="s">
        <v>857</v>
      </c>
      <c r="B16" s="6">
        <v>1</v>
      </c>
      <c r="C16" s="6">
        <v>1</v>
      </c>
      <c r="D16" s="6">
        <v>1</v>
      </c>
      <c r="E16" s="6">
        <v>8</v>
      </c>
      <c r="F16" s="6">
        <f>VLOOKUP(MATCH($B16,$M$16:$M$23,0),$M$16:$P$23,MATCH(RIGHT(F$15,LEN(F$15)-4),$M$15:$P$15,0))</f>
        <v>10</v>
      </c>
      <c r="G16" s="6">
        <f>VLOOKUP(MATCH($B16,$M$16:$M$23,0),$M$16:$P$23,MATCH(RIGHT(G$15,LEN(G$15)-4),$M$15:$P$15,0))</f>
        <v>9</v>
      </c>
      <c r="H16" s="6">
        <f>VLOOKUP(MATCH($B16,$M$16:$M$23,0),$M$16:$P$23,MATCH(RIGHT(H$15,LEN(H$15)-4),$M$15:$P$15,0))</f>
        <v>2000000</v>
      </c>
      <c r="I16" s="6">
        <v>33</v>
      </c>
      <c r="J16" s="6" t="str">
        <f>IF(RANK($I16,$I$16:$I$23)&lt;=4,REPLACE($A16,2,1,"★")&amp;RANK($I16,$I$16:$I$23)&amp;"등","")</f>
        <v>이★철1등</v>
      </c>
      <c r="K16" s="6" t="str">
        <f>fn그래프($B16,COUNTA($A$16:$A$23))</f>
        <v>●●●●●●●</v>
      </c>
      <c r="M16" s="30">
        <v>1</v>
      </c>
      <c r="N16" s="30">
        <v>10</v>
      </c>
      <c r="O16" s="30">
        <v>9</v>
      </c>
      <c r="P16" s="31">
        <v>2000000</v>
      </c>
      <c r="T16" t="str">
        <f>RIGHT(G15,LEN(G15)-4)</f>
        <v>배점</v>
      </c>
      <c r="U16" t="str">
        <f>RIGHT(H15,LEN(H15)-4)</f>
        <v>상금</v>
      </c>
    </row>
    <row r="17" spans="1:16">
      <c r="A17" s="30" t="s">
        <v>859</v>
      </c>
      <c r="B17" s="6">
        <v>6</v>
      </c>
      <c r="C17" s="6">
        <v>4</v>
      </c>
      <c r="D17" s="6">
        <v>5</v>
      </c>
      <c r="E17" s="6">
        <v>3</v>
      </c>
      <c r="F17" s="6">
        <f t="shared" ref="F17:H23" si="2">VLOOKUP(MATCH($B17,$M$16:$M$23,0),$M$16:$P$23,MATCH(RIGHT(F$15,LEN(F$15)-4),$M$15:$P$15,0))</f>
        <v>5</v>
      </c>
      <c r="G17" s="6">
        <f t="shared" si="2"/>
        <v>7</v>
      </c>
      <c r="H17" s="6">
        <f t="shared" si="2"/>
        <v>1000000</v>
      </c>
      <c r="I17" s="6">
        <v>30</v>
      </c>
      <c r="J17" s="6" t="str">
        <f t="shared" ref="J17:J23" si="3">IF(RANK($I17,$I$16:$I$23)&lt;=4,REPLACE($A17,2,1,"★")&amp;RANK($I17,$I$16:$I$23)&amp;"등","")</f>
        <v>조★진4등</v>
      </c>
      <c r="K17" s="6" t="str">
        <f t="shared" ref="K17:K23" si="4">fn그래프($B17,COUNTA($A$16:$A$23))</f>
        <v>●●</v>
      </c>
      <c r="M17" s="30">
        <v>2</v>
      </c>
      <c r="N17" s="30">
        <v>9</v>
      </c>
      <c r="O17" s="30">
        <v>9</v>
      </c>
      <c r="P17" s="31">
        <v>1800000</v>
      </c>
    </row>
    <row r="18" spans="1:16">
      <c r="A18" s="30" t="s">
        <v>861</v>
      </c>
      <c r="B18" s="6">
        <v>2</v>
      </c>
      <c r="C18" s="6">
        <v>1</v>
      </c>
      <c r="D18" s="6">
        <v>3</v>
      </c>
      <c r="E18" s="6">
        <v>5</v>
      </c>
      <c r="F18" s="6">
        <f t="shared" si="2"/>
        <v>9</v>
      </c>
      <c r="G18" s="6">
        <f t="shared" si="2"/>
        <v>9</v>
      </c>
      <c r="H18" s="6">
        <f t="shared" si="2"/>
        <v>1800000</v>
      </c>
      <c r="I18" s="6">
        <v>33</v>
      </c>
      <c r="J18" s="6" t="str">
        <f t="shared" si="3"/>
        <v>박★호1등</v>
      </c>
      <c r="K18" s="6" t="str">
        <f t="shared" si="4"/>
        <v>●●●●●●</v>
      </c>
      <c r="M18" s="30">
        <v>3</v>
      </c>
      <c r="N18" s="30">
        <v>8</v>
      </c>
      <c r="O18" s="30">
        <v>8</v>
      </c>
      <c r="P18" s="31">
        <v>1600000</v>
      </c>
    </row>
    <row r="19" spans="1:16">
      <c r="A19" s="30" t="s">
        <v>863</v>
      </c>
      <c r="B19" s="6">
        <v>4</v>
      </c>
      <c r="C19" s="6">
        <v>8</v>
      </c>
      <c r="D19" s="6">
        <v>5</v>
      </c>
      <c r="E19" s="6">
        <v>3</v>
      </c>
      <c r="F19" s="6">
        <f t="shared" si="2"/>
        <v>7</v>
      </c>
      <c r="G19" s="6">
        <f t="shared" si="2"/>
        <v>8</v>
      </c>
      <c r="H19" s="6">
        <f t="shared" si="2"/>
        <v>1400000</v>
      </c>
      <c r="I19" s="6">
        <v>29</v>
      </c>
      <c r="J19" s="6" t="str">
        <f t="shared" si="3"/>
        <v/>
      </c>
      <c r="K19" s="6" t="str">
        <f t="shared" si="4"/>
        <v>●●●●</v>
      </c>
      <c r="M19" s="30">
        <v>4</v>
      </c>
      <c r="N19" s="30">
        <v>7</v>
      </c>
      <c r="O19" s="30">
        <v>8</v>
      </c>
      <c r="P19" s="31">
        <v>1400000</v>
      </c>
    </row>
    <row r="20" spans="1:16">
      <c r="A20" s="30" t="s">
        <v>858</v>
      </c>
      <c r="B20" s="6">
        <v>7</v>
      </c>
      <c r="C20" s="6">
        <v>5</v>
      </c>
      <c r="D20" s="6">
        <v>2</v>
      </c>
      <c r="E20" s="6">
        <v>7</v>
      </c>
      <c r="F20" s="6">
        <f t="shared" si="2"/>
        <v>4</v>
      </c>
      <c r="G20" s="6">
        <f t="shared" si="2"/>
        <v>6</v>
      </c>
      <c r="H20" s="6">
        <f t="shared" si="2"/>
        <v>800000</v>
      </c>
      <c r="I20" s="6">
        <v>28</v>
      </c>
      <c r="J20" s="6" t="str">
        <f t="shared" si="3"/>
        <v/>
      </c>
      <c r="K20" s="6" t="str">
        <f t="shared" si="4"/>
        <v>●</v>
      </c>
      <c r="M20" s="30">
        <v>5</v>
      </c>
      <c r="N20" s="30">
        <v>6</v>
      </c>
      <c r="O20" s="30">
        <v>7</v>
      </c>
      <c r="P20" s="31">
        <v>1200000</v>
      </c>
    </row>
    <row r="21" spans="1:16">
      <c r="A21" s="30" t="s">
        <v>860</v>
      </c>
      <c r="B21" s="6">
        <v>8</v>
      </c>
      <c r="C21" s="6">
        <v>3</v>
      </c>
      <c r="D21" s="6">
        <v>3</v>
      </c>
      <c r="E21" s="6">
        <v>1</v>
      </c>
      <c r="F21" s="6">
        <f t="shared" si="2"/>
        <v>3</v>
      </c>
      <c r="G21" s="6">
        <f t="shared" si="2"/>
        <v>6</v>
      </c>
      <c r="H21" s="6">
        <f t="shared" si="2"/>
        <v>600000</v>
      </c>
      <c r="I21" s="6">
        <v>31</v>
      </c>
      <c r="J21" s="6" t="str">
        <f t="shared" si="3"/>
        <v>노★호3등</v>
      </c>
      <c r="K21" s="6" t="str">
        <f t="shared" si="4"/>
        <v/>
      </c>
      <c r="M21" s="30">
        <v>6</v>
      </c>
      <c r="N21" s="30">
        <v>5</v>
      </c>
      <c r="O21" s="30">
        <v>7</v>
      </c>
      <c r="P21" s="31">
        <v>1000000</v>
      </c>
    </row>
    <row r="22" spans="1:16">
      <c r="A22" s="30" t="s">
        <v>862</v>
      </c>
      <c r="B22" s="6">
        <v>5</v>
      </c>
      <c r="C22" s="6">
        <v>6</v>
      </c>
      <c r="D22" s="6">
        <v>7</v>
      </c>
      <c r="E22" s="6">
        <v>6</v>
      </c>
      <c r="F22" s="6">
        <f t="shared" si="2"/>
        <v>6</v>
      </c>
      <c r="G22" s="6">
        <f t="shared" si="2"/>
        <v>7</v>
      </c>
      <c r="H22" s="6">
        <f t="shared" si="2"/>
        <v>1200000</v>
      </c>
      <c r="I22" s="6">
        <v>27</v>
      </c>
      <c r="J22" s="6" t="str">
        <f t="shared" si="3"/>
        <v/>
      </c>
      <c r="K22" s="6" t="str">
        <f t="shared" si="4"/>
        <v>●●●</v>
      </c>
      <c r="M22" s="30">
        <v>7</v>
      </c>
      <c r="N22" s="30">
        <v>4</v>
      </c>
      <c r="O22" s="30">
        <v>6</v>
      </c>
      <c r="P22" s="31">
        <v>800000</v>
      </c>
    </row>
    <row r="23" spans="1:16">
      <c r="A23" s="30" t="s">
        <v>864</v>
      </c>
      <c r="B23" s="6">
        <v>3</v>
      </c>
      <c r="C23" s="6">
        <v>7</v>
      </c>
      <c r="D23" s="6">
        <v>8</v>
      </c>
      <c r="E23" s="6">
        <v>1</v>
      </c>
      <c r="F23" s="6">
        <f t="shared" si="2"/>
        <v>8</v>
      </c>
      <c r="G23" s="6">
        <f t="shared" si="2"/>
        <v>8</v>
      </c>
      <c r="H23" s="6">
        <f t="shared" si="2"/>
        <v>1600000</v>
      </c>
      <c r="I23" s="6">
        <v>29</v>
      </c>
      <c r="J23" s="6" t="str">
        <f t="shared" si="3"/>
        <v/>
      </c>
      <c r="K23" s="6" t="str">
        <f t="shared" si="4"/>
        <v>●●●●●</v>
      </c>
      <c r="M23" s="30">
        <v>8</v>
      </c>
      <c r="N23" s="30">
        <v>3</v>
      </c>
      <c r="O23" s="30">
        <v>6</v>
      </c>
      <c r="P23" s="31">
        <v>600000</v>
      </c>
    </row>
  </sheetData>
  <mergeCells count="2">
    <mergeCell ref="B3:H3"/>
    <mergeCell ref="J3:P3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E3B6-51B8-40F2-BEAC-05CA4BC84350}">
  <sheetPr codeName="Sheet13"/>
  <dimension ref="A1:R43"/>
  <sheetViews>
    <sheetView topLeftCell="A13" workbookViewId="0">
      <selection activeCell="B4" sqref="B4:B43"/>
    </sheetView>
  </sheetViews>
  <sheetFormatPr defaultRowHeight="16.5"/>
  <cols>
    <col min="1" max="1" width="5.625" bestFit="1" customWidth="1"/>
    <col min="2" max="2" width="11.5" bestFit="1" customWidth="1"/>
    <col min="4" max="4" width="5.5" bestFit="1" customWidth="1"/>
    <col min="5" max="5" width="5.25" bestFit="1" customWidth="1"/>
    <col min="6" max="6" width="10.875" bestFit="1" customWidth="1"/>
    <col min="7" max="7" width="13" bestFit="1" customWidth="1"/>
    <col min="8" max="8" width="27.625" bestFit="1" customWidth="1"/>
    <col min="9" max="9" width="19.375" bestFit="1" customWidth="1"/>
    <col min="10" max="10" width="15.25" bestFit="1" customWidth="1"/>
    <col min="11" max="13" width="12.125" customWidth="1"/>
    <col min="14" max="14" width="3.5" customWidth="1"/>
    <col min="16" max="16" width="25.125" bestFit="1" customWidth="1"/>
    <col min="17" max="17" width="22" customWidth="1"/>
    <col min="18" max="18" width="12.875" bestFit="1" customWidth="1"/>
    <col min="20" max="20" width="14.75" customWidth="1"/>
  </cols>
  <sheetData>
    <row r="1" spans="1:18">
      <c r="G1" s="87"/>
    </row>
    <row r="2" spans="1:18">
      <c r="A2" t="s">
        <v>393</v>
      </c>
      <c r="O2" t="s">
        <v>394</v>
      </c>
    </row>
    <row r="3" spans="1:18">
      <c r="A3" s="30" t="s">
        <v>877</v>
      </c>
      <c r="B3" s="27" t="s">
        <v>395</v>
      </c>
      <c r="C3" s="30" t="s">
        <v>878</v>
      </c>
      <c r="D3" s="30" t="s">
        <v>879</v>
      </c>
      <c r="E3" s="30" t="s">
        <v>880</v>
      </c>
      <c r="F3" s="30" t="s">
        <v>881</v>
      </c>
      <c r="G3" s="30" t="s">
        <v>882</v>
      </c>
      <c r="H3" s="30" t="s">
        <v>883</v>
      </c>
      <c r="I3" s="27" t="s">
        <v>884</v>
      </c>
      <c r="J3" s="27" t="s">
        <v>885</v>
      </c>
      <c r="K3" s="30" t="s">
        <v>886</v>
      </c>
      <c r="L3" s="30" t="s">
        <v>887</v>
      </c>
      <c r="M3" s="30" t="s">
        <v>888</v>
      </c>
      <c r="O3" s="30" t="s">
        <v>878</v>
      </c>
      <c r="P3" s="27" t="s">
        <v>889</v>
      </c>
      <c r="Q3" s="27" t="s">
        <v>890</v>
      </c>
    </row>
    <row r="4" spans="1:18">
      <c r="A4" s="6">
        <v>1</v>
      </c>
      <c r="B4" s="31" t="str">
        <f>fn구분(C4,D4,E4)</f>
        <v>효_123-12</v>
      </c>
      <c r="C4" s="6" t="s">
        <v>891</v>
      </c>
      <c r="D4" s="6">
        <v>123</v>
      </c>
      <c r="E4" s="6">
        <v>12</v>
      </c>
      <c r="F4" s="88">
        <v>2726000</v>
      </c>
      <c r="G4" s="9">
        <v>580000000</v>
      </c>
      <c r="H4" s="6" t="s">
        <v>892</v>
      </c>
      <c r="I4" s="89" t="str">
        <f>_xlfn.CONCAT("매월 ",ROUND(PMT(0.03/12,10*12,-$G4),-3),"원")</f>
        <v>매월 5601000원</v>
      </c>
      <c r="J4" s="94" t="str">
        <f>IF(FIXED(FV(0.03/12,10*12,-$F4),-3)&gt;=150000000,FIXED(FV(0.03/12,10*12,-$F4),-3),"비추천")</f>
        <v>380,935,000</v>
      </c>
      <c r="K4" s="9">
        <v>16</v>
      </c>
      <c r="L4" s="9">
        <v>50</v>
      </c>
      <c r="M4" s="9">
        <f t="shared" ref="M4:M43" si="0">K4+L4</f>
        <v>66</v>
      </c>
      <c r="O4" s="30" t="s">
        <v>893</v>
      </c>
      <c r="P4" s="30" t="str">
        <f t="array" ref="P4">"약 " &amp; ROUND(AVERAGE(LARGE( IF( ($C$4:$C$43)=$O4, ($M$4:$M$43) ),{1,2,3})),0) &amp; "대"</f>
        <v>약 88대</v>
      </c>
      <c r="Q4" s="6" t="str">
        <f t="array" ref="Q4">INDEX($H$4:$H$43,MATCH(MAX((($C$4:$C$43)=$O4)*($M$4:$M$43)),$M$4:$M$43,0),0)</f>
        <v>한성</v>
      </c>
      <c r="R4" s="90"/>
    </row>
    <row r="5" spans="1:18">
      <c r="A5" s="6">
        <v>2</v>
      </c>
      <c r="B5" s="31" t="str">
        <f t="shared" ref="B5:B43" si="1">fn구분(C5,D5,E5)</f>
        <v>송_484-0</v>
      </c>
      <c r="C5" s="6" t="s">
        <v>893</v>
      </c>
      <c r="D5" s="6">
        <v>484</v>
      </c>
      <c r="E5" s="6">
        <v>0</v>
      </c>
      <c r="F5" s="88">
        <v>1128000</v>
      </c>
      <c r="G5" s="9">
        <v>240000000</v>
      </c>
      <c r="H5" s="6" t="s">
        <v>894</v>
      </c>
      <c r="I5" s="89" t="str">
        <f t="shared" ref="I5:I43" si="2">_xlfn.CONCAT("매월 ",ROUND(PMT(0.03/12,10*12,-$G5),-3),"원")</f>
        <v>매월 2317000원</v>
      </c>
      <c r="J5" s="94" t="str">
        <f t="shared" ref="J5:J43" si="3">IF(FIXED(FV(0.03/12,10*12,-$F5),-3)&gt;=150000000,FIXED(FV(0.03/12,10*12,-$F5),-3),"비추천")</f>
        <v>157,628,000</v>
      </c>
      <c r="K5" s="9">
        <v>20</v>
      </c>
      <c r="L5" s="9">
        <v>43</v>
      </c>
      <c r="M5" s="9">
        <f t="shared" si="0"/>
        <v>63</v>
      </c>
      <c r="O5" s="30" t="s">
        <v>895</v>
      </c>
      <c r="P5" s="30" t="str">
        <f t="array" ref="P5">"약 " &amp; ROUND(AVERAGE(LARGE( IF( ($C$4:$C$43)=$O5, ($M$4:$M$43) ),{1,2,3})),0) &amp; "대"</f>
        <v>약 119대</v>
      </c>
      <c r="Q5" s="6" t="str">
        <f t="array" ref="Q5">INDEX($H$4:$H$43,MATCH(MAX((($C$4:$C$43)=$O5)*($M$4:$M$43)),$M$4:$M$43,0),0)</f>
        <v>평화주공1,2</v>
      </c>
    </row>
    <row r="6" spans="1:18">
      <c r="A6" s="6">
        <v>3</v>
      </c>
      <c r="B6" s="31" t="str">
        <f t="shared" si="1"/>
        <v>미_246-1</v>
      </c>
      <c r="C6" s="6" t="s">
        <v>895</v>
      </c>
      <c r="D6" s="6">
        <v>246</v>
      </c>
      <c r="E6" s="6">
        <v>1</v>
      </c>
      <c r="F6" s="88">
        <v>1316000</v>
      </c>
      <c r="G6" s="9">
        <v>280000000</v>
      </c>
      <c r="H6" s="6" t="s">
        <v>896</v>
      </c>
      <c r="I6" s="89" t="str">
        <f t="shared" si="2"/>
        <v>매월 2704000원</v>
      </c>
      <c r="J6" s="94" t="str">
        <f t="shared" si="3"/>
        <v>183,900,000</v>
      </c>
      <c r="K6" s="9">
        <v>17</v>
      </c>
      <c r="L6" s="9">
        <v>22</v>
      </c>
      <c r="M6" s="9">
        <f t="shared" si="0"/>
        <v>39</v>
      </c>
      <c r="O6" s="30" t="s">
        <v>897</v>
      </c>
      <c r="P6" s="30" t="str">
        <f t="array" ref="P6">"약 " &amp; ROUND(AVERAGE(LARGE( IF( ($C$4:$C$43)=$O6, ($M$4:$M$43) ),{1,2,3})),0) &amp; "대"</f>
        <v>약 114대</v>
      </c>
      <c r="Q6" s="6" t="str">
        <f t="array" ref="Q6">INDEX($H$4:$H$43,MATCH(MAX((($C$4:$C$43)=$O6)*($M$4:$M$43)),$M$4:$M$43,0),0)</f>
        <v>모아엘가</v>
      </c>
    </row>
    <row r="7" spans="1:18">
      <c r="A7" s="6">
        <v>4</v>
      </c>
      <c r="B7" s="31" t="str">
        <f t="shared" si="1"/>
        <v>확인필요</v>
      </c>
      <c r="C7" s="6" t="s">
        <v>895</v>
      </c>
      <c r="D7" s="6">
        <v>1315</v>
      </c>
      <c r="E7" s="6">
        <v>2</v>
      </c>
      <c r="F7" s="88">
        <v>343100</v>
      </c>
      <c r="G7" s="9">
        <v>73000000</v>
      </c>
      <c r="H7" s="6" t="s">
        <v>898</v>
      </c>
      <c r="I7" s="89" t="str">
        <f t="shared" si="2"/>
        <v>매월 705000원</v>
      </c>
      <c r="J7" s="94" t="str">
        <f t="shared" si="3"/>
        <v>47,945,000</v>
      </c>
      <c r="K7" s="9">
        <v>27</v>
      </c>
      <c r="L7" s="9">
        <v>95</v>
      </c>
      <c r="M7" s="9">
        <f t="shared" si="0"/>
        <v>122</v>
      </c>
      <c r="O7" s="30" t="s">
        <v>891</v>
      </c>
      <c r="P7" s="30" t="str">
        <f t="array" ref="P7">"약 " &amp; ROUND(AVERAGE(LARGE( IF( ($C$4:$C$43)=$O7, ($M$4:$M$43) ),{1,2,3})),0) &amp; "대"</f>
        <v>약 107대</v>
      </c>
      <c r="Q7" s="6" t="str">
        <f t="array" ref="Q7">INDEX($H$4:$H$43,MATCH(MAX((($C$4:$C$43)=$O7)*($M$4:$M$43)),$M$4:$M$43,0),0)</f>
        <v>전주첨단코아루1차</v>
      </c>
    </row>
    <row r="8" spans="1:18">
      <c r="A8" s="6">
        <v>5</v>
      </c>
      <c r="B8" s="31" t="str">
        <f t="shared" si="1"/>
        <v>서_900-5</v>
      </c>
      <c r="C8" s="6" t="s">
        <v>897</v>
      </c>
      <c r="D8" s="6">
        <v>900</v>
      </c>
      <c r="E8" s="6">
        <v>5</v>
      </c>
      <c r="F8" s="88">
        <v>1974000</v>
      </c>
      <c r="G8" s="9">
        <v>420000000</v>
      </c>
      <c r="H8" s="6" t="s">
        <v>899</v>
      </c>
      <c r="I8" s="89" t="str">
        <f t="shared" si="2"/>
        <v>매월 4056000원</v>
      </c>
      <c r="J8" s="94" t="str">
        <f t="shared" si="3"/>
        <v>275,850,000</v>
      </c>
      <c r="K8" s="9">
        <v>20</v>
      </c>
      <c r="L8" s="9">
        <v>27</v>
      </c>
      <c r="M8" s="9">
        <f t="shared" si="0"/>
        <v>47</v>
      </c>
    </row>
    <row r="9" spans="1:18">
      <c r="A9" s="6">
        <v>6</v>
      </c>
      <c r="B9" s="31" t="str">
        <f t="shared" si="1"/>
        <v>서_965-3</v>
      </c>
      <c r="C9" s="6" t="s">
        <v>897</v>
      </c>
      <c r="D9" s="6">
        <v>965</v>
      </c>
      <c r="E9" s="6">
        <v>3</v>
      </c>
      <c r="F9" s="88">
        <v>376000</v>
      </c>
      <c r="G9" s="9">
        <v>80000000</v>
      </c>
      <c r="H9" s="6" t="s">
        <v>900</v>
      </c>
      <c r="I9" s="89" t="str">
        <f t="shared" si="2"/>
        <v>매월 772000원</v>
      </c>
      <c r="J9" s="94" t="str">
        <f t="shared" si="3"/>
        <v>52,543,000</v>
      </c>
      <c r="K9" s="9">
        <v>22</v>
      </c>
      <c r="L9" s="9">
        <v>25</v>
      </c>
      <c r="M9" s="9">
        <f t="shared" si="0"/>
        <v>47</v>
      </c>
    </row>
    <row r="10" spans="1:18">
      <c r="A10" s="6">
        <v>7</v>
      </c>
      <c r="B10" s="31" t="str">
        <f t="shared" si="1"/>
        <v>확인필요</v>
      </c>
      <c r="C10" s="6" t="s">
        <v>901</v>
      </c>
      <c r="D10" s="6">
        <v>1150</v>
      </c>
      <c r="E10" s="6">
        <v>4</v>
      </c>
      <c r="F10" s="88">
        <v>1066900</v>
      </c>
      <c r="G10" s="9">
        <v>227000000</v>
      </c>
      <c r="H10" s="6" t="s">
        <v>902</v>
      </c>
      <c r="I10" s="89" t="str">
        <f t="shared" si="2"/>
        <v>매월 2192000원</v>
      </c>
      <c r="J10" s="94" t="str">
        <f t="shared" si="3"/>
        <v>149,090,000</v>
      </c>
      <c r="K10" s="9">
        <v>38</v>
      </c>
      <c r="L10" s="9">
        <v>26</v>
      </c>
      <c r="M10" s="9">
        <f t="shared" si="0"/>
        <v>64</v>
      </c>
    </row>
    <row r="11" spans="1:18">
      <c r="A11" s="6">
        <v>8</v>
      </c>
      <c r="B11" s="31" t="str">
        <f t="shared" si="1"/>
        <v>확인필요</v>
      </c>
      <c r="C11" s="6" t="s">
        <v>893</v>
      </c>
      <c r="D11" s="6">
        <v>1228</v>
      </c>
      <c r="E11" s="6">
        <v>-6</v>
      </c>
      <c r="F11" s="88">
        <v>31020</v>
      </c>
      <c r="G11" s="9">
        <v>6600000</v>
      </c>
      <c r="H11" s="6" t="s">
        <v>903</v>
      </c>
      <c r="I11" s="89" t="str">
        <f t="shared" si="2"/>
        <v>매월 64000원</v>
      </c>
      <c r="J11" s="94" t="str">
        <f t="shared" si="3"/>
        <v>4,335,000</v>
      </c>
      <c r="K11" s="9">
        <v>25</v>
      </c>
      <c r="L11" s="9">
        <v>27</v>
      </c>
      <c r="M11" s="9">
        <f t="shared" si="0"/>
        <v>52</v>
      </c>
    </row>
    <row r="12" spans="1:18">
      <c r="A12" s="6">
        <v>9</v>
      </c>
      <c r="B12" s="31" t="str">
        <f t="shared" si="1"/>
        <v>송_768-8</v>
      </c>
      <c r="C12" s="6" t="s">
        <v>893</v>
      </c>
      <c r="D12" s="6">
        <v>768</v>
      </c>
      <c r="E12" s="6">
        <v>8</v>
      </c>
      <c r="F12" s="88">
        <v>1104500</v>
      </c>
      <c r="G12" s="9">
        <v>235000000</v>
      </c>
      <c r="H12" s="6" t="s">
        <v>904</v>
      </c>
      <c r="I12" s="89" t="str">
        <f t="shared" si="2"/>
        <v>매월 2269000원</v>
      </c>
      <c r="J12" s="94" t="str">
        <f t="shared" si="3"/>
        <v>154,344,000</v>
      </c>
      <c r="K12" s="9">
        <v>11</v>
      </c>
      <c r="L12" s="9">
        <v>54</v>
      </c>
      <c r="M12" s="9">
        <f t="shared" si="0"/>
        <v>65</v>
      </c>
    </row>
    <row r="13" spans="1:18">
      <c r="A13" s="6">
        <v>10</v>
      </c>
      <c r="B13" s="31" t="str">
        <f t="shared" si="1"/>
        <v>서_864-7</v>
      </c>
      <c r="C13" s="6" t="s">
        <v>905</v>
      </c>
      <c r="D13" s="6">
        <v>864</v>
      </c>
      <c r="E13" s="6">
        <v>7</v>
      </c>
      <c r="F13" s="88">
        <v>658000</v>
      </c>
      <c r="G13" s="9">
        <v>140000000</v>
      </c>
      <c r="H13" s="6" t="s">
        <v>906</v>
      </c>
      <c r="I13" s="89" t="str">
        <f t="shared" si="2"/>
        <v>매월 1352000원</v>
      </c>
      <c r="J13" s="94" t="str">
        <f t="shared" si="3"/>
        <v>91,950,000</v>
      </c>
      <c r="K13" s="9">
        <v>54</v>
      </c>
      <c r="L13" s="9">
        <v>87</v>
      </c>
      <c r="M13" s="9">
        <f t="shared" si="0"/>
        <v>141</v>
      </c>
    </row>
    <row r="14" spans="1:18">
      <c r="A14" s="6">
        <v>11</v>
      </c>
      <c r="B14" s="31" t="str">
        <f t="shared" si="1"/>
        <v>효_97-44</v>
      </c>
      <c r="C14" s="6" t="s">
        <v>891</v>
      </c>
      <c r="D14" s="6">
        <v>97</v>
      </c>
      <c r="E14" s="6">
        <v>44</v>
      </c>
      <c r="F14" s="88">
        <v>305500</v>
      </c>
      <c r="G14" s="9">
        <v>65000000</v>
      </c>
      <c r="H14" s="6" t="s">
        <v>907</v>
      </c>
      <c r="I14" s="89" t="str">
        <f t="shared" si="2"/>
        <v>매월 628000원</v>
      </c>
      <c r="J14" s="94" t="str">
        <f t="shared" si="3"/>
        <v>42,691,000</v>
      </c>
      <c r="K14" s="9">
        <v>23</v>
      </c>
      <c r="L14" s="9">
        <v>22</v>
      </c>
      <c r="M14" s="9">
        <f t="shared" si="0"/>
        <v>45</v>
      </c>
    </row>
    <row r="15" spans="1:18">
      <c r="A15" s="6">
        <v>12</v>
      </c>
      <c r="B15" s="31" t="str">
        <f t="shared" si="1"/>
        <v>미_56-9</v>
      </c>
      <c r="C15" s="6" t="s">
        <v>895</v>
      </c>
      <c r="D15" s="6">
        <v>56</v>
      </c>
      <c r="E15" s="6">
        <v>9</v>
      </c>
      <c r="F15" s="88">
        <v>415950</v>
      </c>
      <c r="G15" s="9">
        <v>88500000</v>
      </c>
      <c r="H15" s="6" t="s">
        <v>908</v>
      </c>
      <c r="I15" s="89" t="str">
        <f t="shared" si="2"/>
        <v>매월 855000원</v>
      </c>
      <c r="J15" s="94" t="str">
        <f t="shared" si="3"/>
        <v>58,125,000</v>
      </c>
      <c r="K15" s="9">
        <v>20</v>
      </c>
      <c r="L15" s="9">
        <v>39</v>
      </c>
      <c r="M15" s="9">
        <f t="shared" si="0"/>
        <v>59</v>
      </c>
    </row>
    <row r="16" spans="1:18">
      <c r="A16" s="6">
        <v>13</v>
      </c>
      <c r="B16" s="31" t="str">
        <f t="shared" si="1"/>
        <v>서_877-13</v>
      </c>
      <c r="C16" s="6" t="s">
        <v>897</v>
      </c>
      <c r="D16" s="6">
        <v>877</v>
      </c>
      <c r="E16" s="6">
        <v>13</v>
      </c>
      <c r="F16" s="88">
        <v>178600</v>
      </c>
      <c r="G16" s="9">
        <v>38000000</v>
      </c>
      <c r="H16" s="6" t="s">
        <v>909</v>
      </c>
      <c r="I16" s="89" t="str">
        <f t="shared" si="2"/>
        <v>매월 367000원</v>
      </c>
      <c r="J16" s="94" t="str">
        <f t="shared" si="3"/>
        <v>24,958,000</v>
      </c>
      <c r="K16" s="9">
        <v>17</v>
      </c>
      <c r="L16" s="9">
        <v>24</v>
      </c>
      <c r="M16" s="9">
        <f t="shared" si="0"/>
        <v>41</v>
      </c>
    </row>
    <row r="17" spans="1:13">
      <c r="A17" s="6">
        <v>14</v>
      </c>
      <c r="B17" s="31" t="str">
        <f t="shared" si="1"/>
        <v>송_586-26</v>
      </c>
      <c r="C17" s="6" t="s">
        <v>893</v>
      </c>
      <c r="D17" s="6">
        <v>586</v>
      </c>
      <c r="E17" s="6">
        <v>26</v>
      </c>
      <c r="F17" s="88">
        <v>850700</v>
      </c>
      <c r="G17" s="9">
        <v>181000000</v>
      </c>
      <c r="H17" s="6" t="s">
        <v>910</v>
      </c>
      <c r="I17" s="89" t="str">
        <f t="shared" si="2"/>
        <v>매월 1748000원</v>
      </c>
      <c r="J17" s="94" t="str">
        <f t="shared" si="3"/>
        <v>118,878,000</v>
      </c>
      <c r="K17" s="9">
        <v>21</v>
      </c>
      <c r="L17" s="9">
        <v>39</v>
      </c>
      <c r="M17" s="9">
        <f t="shared" si="0"/>
        <v>60</v>
      </c>
    </row>
    <row r="18" spans="1:13">
      <c r="A18" s="6">
        <v>15</v>
      </c>
      <c r="B18" s="31" t="str">
        <f t="shared" si="1"/>
        <v>송_970-14</v>
      </c>
      <c r="C18" s="6" t="s">
        <v>893</v>
      </c>
      <c r="D18" s="6">
        <v>970</v>
      </c>
      <c r="E18" s="6">
        <v>14</v>
      </c>
      <c r="F18" s="88">
        <v>1428800</v>
      </c>
      <c r="G18" s="9">
        <v>304000000</v>
      </c>
      <c r="H18" s="6" t="s">
        <v>911</v>
      </c>
      <c r="I18" s="89" t="str">
        <f t="shared" si="2"/>
        <v>매월 2935000원</v>
      </c>
      <c r="J18" s="94" t="str">
        <f t="shared" si="3"/>
        <v>199,663,000</v>
      </c>
      <c r="K18" s="9">
        <v>10</v>
      </c>
      <c r="L18" s="9">
        <v>41</v>
      </c>
      <c r="M18" s="9">
        <f t="shared" si="0"/>
        <v>51</v>
      </c>
    </row>
    <row r="19" spans="1:13">
      <c r="A19" s="6">
        <v>16</v>
      </c>
      <c r="B19" s="31" t="str">
        <f t="shared" si="1"/>
        <v>효_898-83</v>
      </c>
      <c r="C19" s="6" t="s">
        <v>912</v>
      </c>
      <c r="D19" s="6">
        <v>898</v>
      </c>
      <c r="E19" s="6">
        <v>83</v>
      </c>
      <c r="F19" s="88">
        <v>629800</v>
      </c>
      <c r="G19" s="9">
        <v>134000000</v>
      </c>
      <c r="H19" s="6" t="s">
        <v>913</v>
      </c>
      <c r="I19" s="89" t="str">
        <f t="shared" si="2"/>
        <v>매월 1294000원</v>
      </c>
      <c r="J19" s="94" t="str">
        <f t="shared" si="3"/>
        <v>88,009,000</v>
      </c>
      <c r="K19" s="9">
        <v>68</v>
      </c>
      <c r="L19" s="9">
        <v>81</v>
      </c>
      <c r="M19" s="9">
        <f t="shared" si="0"/>
        <v>149</v>
      </c>
    </row>
    <row r="20" spans="1:13">
      <c r="A20" s="6">
        <v>17</v>
      </c>
      <c r="B20" s="31" t="str">
        <f t="shared" si="1"/>
        <v>미_667-11</v>
      </c>
      <c r="C20" s="6" t="s">
        <v>895</v>
      </c>
      <c r="D20" s="6">
        <v>667</v>
      </c>
      <c r="E20" s="6">
        <v>11</v>
      </c>
      <c r="F20" s="88">
        <v>1410000</v>
      </c>
      <c r="G20" s="9">
        <v>300000000</v>
      </c>
      <c r="H20" s="6" t="s">
        <v>914</v>
      </c>
      <c r="I20" s="89" t="str">
        <f t="shared" si="2"/>
        <v>매월 2897000원</v>
      </c>
      <c r="J20" s="94" t="str">
        <f t="shared" si="3"/>
        <v>197,035,000</v>
      </c>
      <c r="K20" s="9">
        <v>18</v>
      </c>
      <c r="L20" s="9">
        <v>15</v>
      </c>
      <c r="M20" s="9">
        <f t="shared" si="0"/>
        <v>33</v>
      </c>
    </row>
    <row r="21" spans="1:13">
      <c r="A21" s="6">
        <v>18</v>
      </c>
      <c r="B21" s="31" t="str">
        <f t="shared" si="1"/>
        <v>효_952-28</v>
      </c>
      <c r="C21" s="6" t="s">
        <v>891</v>
      </c>
      <c r="D21" s="6">
        <v>952</v>
      </c>
      <c r="E21" s="6">
        <v>28</v>
      </c>
      <c r="F21" s="88">
        <v>808400</v>
      </c>
      <c r="G21" s="9">
        <v>172000000</v>
      </c>
      <c r="H21" s="6" t="s">
        <v>915</v>
      </c>
      <c r="I21" s="89" t="str">
        <f t="shared" si="2"/>
        <v>매월 1661000원</v>
      </c>
      <c r="J21" s="94" t="str">
        <f t="shared" si="3"/>
        <v>112,967,000</v>
      </c>
      <c r="K21" s="9">
        <v>16</v>
      </c>
      <c r="L21" s="9">
        <v>18</v>
      </c>
      <c r="M21" s="9">
        <f t="shared" si="0"/>
        <v>34</v>
      </c>
    </row>
    <row r="22" spans="1:13">
      <c r="A22" s="6">
        <v>19</v>
      </c>
      <c r="B22" s="31" t="str">
        <f t="shared" si="1"/>
        <v>미_761-16</v>
      </c>
      <c r="C22" s="6" t="s">
        <v>895</v>
      </c>
      <c r="D22" s="6">
        <v>761</v>
      </c>
      <c r="E22" s="6">
        <v>16</v>
      </c>
      <c r="F22" s="88">
        <v>1222000</v>
      </c>
      <c r="G22" s="9">
        <v>260000000</v>
      </c>
      <c r="H22" s="6" t="s">
        <v>916</v>
      </c>
      <c r="I22" s="89" t="str">
        <f t="shared" si="2"/>
        <v>매월 2511000원</v>
      </c>
      <c r="J22" s="94" t="str">
        <f t="shared" si="3"/>
        <v>170,764,000</v>
      </c>
      <c r="K22" s="9">
        <v>51</v>
      </c>
      <c r="L22" s="9">
        <v>45</v>
      </c>
      <c r="M22" s="9">
        <f t="shared" si="0"/>
        <v>96</v>
      </c>
    </row>
    <row r="23" spans="1:13">
      <c r="A23" s="6">
        <v>20</v>
      </c>
      <c r="B23" s="31" t="str">
        <f t="shared" si="1"/>
        <v>확인필요</v>
      </c>
      <c r="C23" s="6" t="s">
        <v>897</v>
      </c>
      <c r="D23" s="6">
        <v>1074</v>
      </c>
      <c r="E23" s="6">
        <v>60</v>
      </c>
      <c r="F23" s="88">
        <v>474700</v>
      </c>
      <c r="G23" s="9">
        <v>101000000</v>
      </c>
      <c r="H23" s="6" t="s">
        <v>917</v>
      </c>
      <c r="I23" s="89" t="str">
        <f t="shared" si="2"/>
        <v>매월 975000원</v>
      </c>
      <c r="J23" s="94" t="str">
        <f t="shared" si="3"/>
        <v>66,335,000</v>
      </c>
      <c r="K23" s="9">
        <v>10</v>
      </c>
      <c r="L23" s="9">
        <v>80</v>
      </c>
      <c r="M23" s="9">
        <f t="shared" si="0"/>
        <v>90</v>
      </c>
    </row>
    <row r="24" spans="1:13">
      <c r="A24" s="6">
        <v>21</v>
      </c>
      <c r="B24" s="31" t="str">
        <f t="shared" si="1"/>
        <v>확인필요</v>
      </c>
      <c r="C24" s="6" t="s">
        <v>895</v>
      </c>
      <c r="D24" s="6">
        <v>1540</v>
      </c>
      <c r="E24" s="6">
        <v>10</v>
      </c>
      <c r="F24" s="88">
        <v>2171400</v>
      </c>
      <c r="G24" s="9">
        <v>462000000</v>
      </c>
      <c r="H24" s="6" t="s">
        <v>918</v>
      </c>
      <c r="I24" s="89" t="str">
        <f t="shared" si="2"/>
        <v>매월 4461000원</v>
      </c>
      <c r="J24" s="94" t="str">
        <f t="shared" si="3"/>
        <v>303,435,000</v>
      </c>
      <c r="K24" s="9">
        <v>19</v>
      </c>
      <c r="L24" s="9">
        <v>84</v>
      </c>
      <c r="M24" s="9">
        <f t="shared" si="0"/>
        <v>103</v>
      </c>
    </row>
    <row r="25" spans="1:13">
      <c r="A25" s="6">
        <v>22</v>
      </c>
      <c r="B25" s="31" t="str">
        <f t="shared" si="1"/>
        <v>송_109-74</v>
      </c>
      <c r="C25" s="6" t="s">
        <v>893</v>
      </c>
      <c r="D25" s="6">
        <v>109</v>
      </c>
      <c r="E25" s="6">
        <v>74</v>
      </c>
      <c r="F25" s="88">
        <v>1457000</v>
      </c>
      <c r="G25" s="9">
        <v>310000000</v>
      </c>
      <c r="H25" s="6" t="s">
        <v>919</v>
      </c>
      <c r="I25" s="89" t="str">
        <f t="shared" si="2"/>
        <v>매월 2993000원</v>
      </c>
      <c r="J25" s="94" t="str">
        <f t="shared" si="3"/>
        <v>203,603,000</v>
      </c>
      <c r="K25" s="9">
        <v>19</v>
      </c>
      <c r="L25" s="9">
        <v>21</v>
      </c>
      <c r="M25" s="9">
        <f t="shared" si="0"/>
        <v>40</v>
      </c>
    </row>
    <row r="26" spans="1:13">
      <c r="A26" s="6">
        <v>23</v>
      </c>
      <c r="B26" s="31" t="str">
        <f t="shared" si="1"/>
        <v>미_705-35</v>
      </c>
      <c r="C26" s="6" t="s">
        <v>920</v>
      </c>
      <c r="D26" s="6">
        <v>705</v>
      </c>
      <c r="E26" s="6">
        <v>35</v>
      </c>
      <c r="F26" s="88">
        <v>1339500</v>
      </c>
      <c r="G26" s="9">
        <v>285000000</v>
      </c>
      <c r="H26" s="6" t="s">
        <v>921</v>
      </c>
      <c r="I26" s="89" t="str">
        <f t="shared" si="2"/>
        <v>매월 2752000원</v>
      </c>
      <c r="J26" s="94" t="str">
        <f t="shared" si="3"/>
        <v>187,184,000</v>
      </c>
      <c r="K26" s="9">
        <v>13</v>
      </c>
      <c r="L26" s="9">
        <v>15</v>
      </c>
      <c r="M26" s="9">
        <f t="shared" si="0"/>
        <v>28</v>
      </c>
    </row>
    <row r="27" spans="1:13">
      <c r="A27" s="6">
        <v>24</v>
      </c>
      <c r="B27" s="31" t="str">
        <f t="shared" si="1"/>
        <v>확인필요</v>
      </c>
      <c r="C27" s="6" t="s">
        <v>897</v>
      </c>
      <c r="D27" s="6">
        <v>1230</v>
      </c>
      <c r="E27" s="6">
        <v>54</v>
      </c>
      <c r="F27" s="88">
        <v>775500</v>
      </c>
      <c r="G27" s="9">
        <v>165000000</v>
      </c>
      <c r="H27" s="6" t="s">
        <v>922</v>
      </c>
      <c r="I27" s="89" t="str">
        <f t="shared" si="2"/>
        <v>매월 1593000원</v>
      </c>
      <c r="J27" s="94" t="str">
        <f t="shared" si="3"/>
        <v>108,369,000</v>
      </c>
      <c r="K27" s="9">
        <v>38</v>
      </c>
      <c r="L27" s="9">
        <v>42</v>
      </c>
      <c r="M27" s="9">
        <f t="shared" si="0"/>
        <v>80</v>
      </c>
    </row>
    <row r="28" spans="1:13">
      <c r="A28" s="6">
        <v>25</v>
      </c>
      <c r="B28" s="31" t="str">
        <f t="shared" si="1"/>
        <v>미_445-24</v>
      </c>
      <c r="C28" s="6" t="s">
        <v>895</v>
      </c>
      <c r="D28" s="6">
        <v>445</v>
      </c>
      <c r="E28" s="6">
        <v>24</v>
      </c>
      <c r="F28" s="88">
        <v>587500</v>
      </c>
      <c r="G28" s="9">
        <v>125000000</v>
      </c>
      <c r="H28" s="6" t="s">
        <v>923</v>
      </c>
      <c r="I28" s="89" t="str">
        <f t="shared" si="2"/>
        <v>매월 1207000원</v>
      </c>
      <c r="J28" s="94" t="str">
        <f t="shared" si="3"/>
        <v>82,098,000</v>
      </c>
      <c r="K28" s="9">
        <v>56</v>
      </c>
      <c r="L28" s="9">
        <v>76</v>
      </c>
      <c r="M28" s="9">
        <f t="shared" si="0"/>
        <v>132</v>
      </c>
    </row>
    <row r="29" spans="1:13">
      <c r="A29" s="6">
        <v>26</v>
      </c>
      <c r="B29" s="31" t="str">
        <f t="shared" si="1"/>
        <v>효_961-31</v>
      </c>
      <c r="C29" s="6" t="s">
        <v>891</v>
      </c>
      <c r="D29" s="6">
        <v>961</v>
      </c>
      <c r="E29" s="6">
        <v>31</v>
      </c>
      <c r="F29" s="88">
        <v>789600</v>
      </c>
      <c r="G29" s="9">
        <v>168000000</v>
      </c>
      <c r="H29" s="6" t="s">
        <v>924</v>
      </c>
      <c r="I29" s="89" t="str">
        <f t="shared" si="2"/>
        <v>매월 1622000원</v>
      </c>
      <c r="J29" s="94" t="str">
        <f t="shared" si="3"/>
        <v>110,340,000</v>
      </c>
      <c r="K29" s="9">
        <v>29</v>
      </c>
      <c r="L29" s="9">
        <v>40</v>
      </c>
      <c r="M29" s="9">
        <f t="shared" si="0"/>
        <v>69</v>
      </c>
    </row>
    <row r="30" spans="1:13">
      <c r="A30" s="6">
        <v>27</v>
      </c>
      <c r="B30" s="31" t="str">
        <f t="shared" si="1"/>
        <v>송_130-49</v>
      </c>
      <c r="C30" s="6" t="s">
        <v>893</v>
      </c>
      <c r="D30" s="6">
        <v>130</v>
      </c>
      <c r="E30" s="6">
        <v>49</v>
      </c>
      <c r="F30" s="88">
        <v>270250</v>
      </c>
      <c r="G30" s="9">
        <v>57500000</v>
      </c>
      <c r="H30" s="6" t="s">
        <v>925</v>
      </c>
      <c r="I30" s="89" t="str">
        <f t="shared" si="2"/>
        <v>매월 555000원</v>
      </c>
      <c r="J30" s="94" t="str">
        <f t="shared" si="3"/>
        <v>37,765,000</v>
      </c>
      <c r="K30" s="9">
        <v>15</v>
      </c>
      <c r="L30" s="9">
        <v>22</v>
      </c>
      <c r="M30" s="9">
        <f t="shared" si="0"/>
        <v>37</v>
      </c>
    </row>
    <row r="31" spans="1:13">
      <c r="A31" s="6">
        <v>28</v>
      </c>
      <c r="B31" s="31" t="str">
        <f t="shared" si="1"/>
        <v>서_141-29</v>
      </c>
      <c r="C31" s="6" t="s">
        <v>897</v>
      </c>
      <c r="D31" s="6">
        <v>141</v>
      </c>
      <c r="E31" s="6">
        <v>29</v>
      </c>
      <c r="F31" s="88">
        <v>822500</v>
      </c>
      <c r="G31" s="9">
        <v>175000000</v>
      </c>
      <c r="H31" s="6" t="s">
        <v>926</v>
      </c>
      <c r="I31" s="89" t="str">
        <f t="shared" si="2"/>
        <v>매월 1690000원</v>
      </c>
      <c r="J31" s="94" t="str">
        <f t="shared" si="3"/>
        <v>114,937,000</v>
      </c>
      <c r="K31" s="9">
        <v>30</v>
      </c>
      <c r="L31" s="9">
        <v>33</v>
      </c>
      <c r="M31" s="9">
        <f t="shared" si="0"/>
        <v>63</v>
      </c>
    </row>
    <row r="32" spans="1:13">
      <c r="A32" s="6">
        <v>29</v>
      </c>
      <c r="B32" s="31" t="str">
        <f t="shared" si="1"/>
        <v>확인필요</v>
      </c>
      <c r="C32" s="6" t="s">
        <v>897</v>
      </c>
      <c r="D32" s="6">
        <v>3943</v>
      </c>
      <c r="E32" s="6">
        <v>47</v>
      </c>
      <c r="F32" s="88">
        <v>517000</v>
      </c>
      <c r="G32" s="9">
        <v>110000000</v>
      </c>
      <c r="H32" s="6" t="s">
        <v>927</v>
      </c>
      <c r="I32" s="89" t="str">
        <f t="shared" si="2"/>
        <v>매월 1062000원</v>
      </c>
      <c r="J32" s="94" t="str">
        <f t="shared" si="3"/>
        <v>72,246,000</v>
      </c>
      <c r="K32" s="9">
        <v>24</v>
      </c>
      <c r="L32" s="9">
        <v>37</v>
      </c>
      <c r="M32" s="9">
        <f t="shared" si="0"/>
        <v>61</v>
      </c>
    </row>
    <row r="33" spans="1:13">
      <c r="A33" s="6">
        <v>30</v>
      </c>
      <c r="B33" s="31" t="str">
        <f t="shared" si="1"/>
        <v>효_305-23</v>
      </c>
      <c r="C33" s="6" t="s">
        <v>891</v>
      </c>
      <c r="D33" s="6">
        <v>305</v>
      </c>
      <c r="E33" s="6">
        <v>23</v>
      </c>
      <c r="F33" s="88">
        <v>258500</v>
      </c>
      <c r="G33" s="9">
        <v>55000000</v>
      </c>
      <c r="H33" s="6" t="s">
        <v>928</v>
      </c>
      <c r="I33" s="89" t="str">
        <f t="shared" si="2"/>
        <v>매월 531000원</v>
      </c>
      <c r="J33" s="94" t="str">
        <f t="shared" si="3"/>
        <v>36,123,000</v>
      </c>
      <c r="K33" s="9">
        <v>23</v>
      </c>
      <c r="L33" s="9">
        <v>79</v>
      </c>
      <c r="M33" s="9">
        <f t="shared" si="0"/>
        <v>102</v>
      </c>
    </row>
    <row r="34" spans="1:13">
      <c r="A34" s="6">
        <v>31</v>
      </c>
      <c r="B34" s="31" t="str">
        <f t="shared" si="1"/>
        <v>미_33-88</v>
      </c>
      <c r="C34" s="6" t="s">
        <v>895</v>
      </c>
      <c r="D34" s="6">
        <v>33</v>
      </c>
      <c r="E34" s="6">
        <v>88</v>
      </c>
      <c r="F34" s="88">
        <v>1809500</v>
      </c>
      <c r="G34" s="9">
        <v>385000000</v>
      </c>
      <c r="H34" s="6" t="s">
        <v>929</v>
      </c>
      <c r="I34" s="89" t="str">
        <f t="shared" si="2"/>
        <v>매월 3718000원</v>
      </c>
      <c r="J34" s="94" t="str">
        <f t="shared" si="3"/>
        <v>252,862,000</v>
      </c>
      <c r="K34" s="9">
        <v>15</v>
      </c>
      <c r="L34" s="9">
        <v>48</v>
      </c>
      <c r="M34" s="9">
        <f t="shared" si="0"/>
        <v>63</v>
      </c>
    </row>
    <row r="35" spans="1:13">
      <c r="A35" s="6">
        <v>32</v>
      </c>
      <c r="B35" s="31" t="str">
        <f t="shared" si="1"/>
        <v>송_69-21</v>
      </c>
      <c r="C35" s="6" t="s">
        <v>893</v>
      </c>
      <c r="D35" s="6">
        <v>69</v>
      </c>
      <c r="E35" s="6">
        <v>21</v>
      </c>
      <c r="F35" s="88">
        <v>2218400</v>
      </c>
      <c r="G35" s="9">
        <v>472000000</v>
      </c>
      <c r="H35" s="6" t="s">
        <v>930</v>
      </c>
      <c r="I35" s="89" t="str">
        <f t="shared" si="2"/>
        <v>매월 4558000원</v>
      </c>
      <c r="J35" s="94" t="str">
        <f t="shared" si="3"/>
        <v>310,002,000</v>
      </c>
      <c r="K35" s="9">
        <v>28</v>
      </c>
      <c r="L35" s="9">
        <v>18</v>
      </c>
      <c r="M35" s="9">
        <f t="shared" si="0"/>
        <v>46</v>
      </c>
    </row>
    <row r="36" spans="1:13">
      <c r="A36" s="6">
        <v>33</v>
      </c>
      <c r="B36" s="31" t="str">
        <f t="shared" si="1"/>
        <v>미_53-38</v>
      </c>
      <c r="C36" s="6" t="s">
        <v>895</v>
      </c>
      <c r="D36" s="6">
        <v>53</v>
      </c>
      <c r="E36" s="6">
        <v>38</v>
      </c>
      <c r="F36" s="88">
        <v>705000</v>
      </c>
      <c r="G36" s="9">
        <v>150000000</v>
      </c>
      <c r="H36" s="6" t="s">
        <v>931</v>
      </c>
      <c r="I36" s="89" t="str">
        <f t="shared" si="2"/>
        <v>매월 1448000원</v>
      </c>
      <c r="J36" s="94" t="str">
        <f t="shared" si="3"/>
        <v>98,518,000</v>
      </c>
      <c r="K36" s="9">
        <v>22</v>
      </c>
      <c r="L36" s="9">
        <v>28</v>
      </c>
      <c r="M36" s="9">
        <f t="shared" si="0"/>
        <v>50</v>
      </c>
    </row>
    <row r="37" spans="1:13">
      <c r="A37" s="6">
        <v>34</v>
      </c>
      <c r="B37" s="31" t="str">
        <f t="shared" si="1"/>
        <v>확인필요</v>
      </c>
      <c r="C37" s="6" t="s">
        <v>895</v>
      </c>
      <c r="D37" s="6">
        <v>789</v>
      </c>
      <c r="E37" s="6">
        <v>152</v>
      </c>
      <c r="F37" s="88">
        <v>573400</v>
      </c>
      <c r="G37" s="9">
        <v>122000000</v>
      </c>
      <c r="H37" s="6" t="s">
        <v>932</v>
      </c>
      <c r="I37" s="89" t="str">
        <f t="shared" si="2"/>
        <v>매월 1178000원</v>
      </c>
      <c r="J37" s="94" t="str">
        <f t="shared" si="3"/>
        <v>80,128,000</v>
      </c>
      <c r="K37" s="9">
        <v>25</v>
      </c>
      <c r="L37" s="9">
        <v>25</v>
      </c>
      <c r="M37" s="9">
        <f t="shared" si="0"/>
        <v>50</v>
      </c>
    </row>
    <row r="38" spans="1:13">
      <c r="A38" s="6">
        <v>35</v>
      </c>
      <c r="B38" s="31" t="str">
        <f t="shared" si="1"/>
        <v>확인필요</v>
      </c>
      <c r="C38" s="6" t="s">
        <v>897</v>
      </c>
      <c r="D38" s="6">
        <v>1064</v>
      </c>
      <c r="E38" s="6">
        <v>32</v>
      </c>
      <c r="F38" s="88">
        <v>846000</v>
      </c>
      <c r="G38" s="9">
        <v>180000000</v>
      </c>
      <c r="H38" s="6" t="s">
        <v>933</v>
      </c>
      <c r="I38" s="89" t="str">
        <f t="shared" si="2"/>
        <v>매월 1738000원</v>
      </c>
      <c r="J38" s="94" t="str">
        <f t="shared" si="3"/>
        <v>118,221,000</v>
      </c>
      <c r="K38" s="9">
        <v>54</v>
      </c>
      <c r="L38" s="9">
        <v>57</v>
      </c>
      <c r="M38" s="9">
        <f t="shared" si="0"/>
        <v>111</v>
      </c>
    </row>
    <row r="39" spans="1:13">
      <c r="A39" s="6">
        <v>36</v>
      </c>
      <c r="B39" s="31" t="str">
        <f t="shared" si="1"/>
        <v>확인필요</v>
      </c>
      <c r="C39" s="6" t="s">
        <v>912</v>
      </c>
      <c r="D39" s="6">
        <v>1556</v>
      </c>
      <c r="E39" s="6">
        <v>37</v>
      </c>
      <c r="F39" s="88">
        <v>2279500</v>
      </c>
      <c r="G39" s="9">
        <v>485000000</v>
      </c>
      <c r="H39" s="6" t="s">
        <v>934</v>
      </c>
      <c r="I39" s="89" t="str">
        <f t="shared" si="2"/>
        <v>매월 4683000원</v>
      </c>
      <c r="J39" s="94" t="str">
        <f t="shared" si="3"/>
        <v>318,541,000</v>
      </c>
      <c r="K39" s="9">
        <v>22</v>
      </c>
      <c r="L39" s="9">
        <v>40</v>
      </c>
      <c r="M39" s="9">
        <f t="shared" si="0"/>
        <v>62</v>
      </c>
    </row>
    <row r="40" spans="1:13">
      <c r="A40" s="6">
        <v>37</v>
      </c>
      <c r="B40" s="31" t="str">
        <f t="shared" si="1"/>
        <v>확인필요</v>
      </c>
      <c r="C40" s="6" t="s">
        <v>893</v>
      </c>
      <c r="D40" s="6">
        <v>1061</v>
      </c>
      <c r="E40" s="6">
        <v>52</v>
      </c>
      <c r="F40" s="88">
        <v>2726000</v>
      </c>
      <c r="G40" s="9">
        <v>580000000</v>
      </c>
      <c r="H40" s="6" t="s">
        <v>935</v>
      </c>
      <c r="I40" s="89" t="str">
        <f t="shared" si="2"/>
        <v>매월 5601000원</v>
      </c>
      <c r="J40" s="94" t="str">
        <f t="shared" si="3"/>
        <v>380,935,000</v>
      </c>
      <c r="K40" s="9">
        <v>27</v>
      </c>
      <c r="L40" s="9">
        <v>91</v>
      </c>
      <c r="M40" s="9">
        <f t="shared" si="0"/>
        <v>118</v>
      </c>
    </row>
    <row r="41" spans="1:13">
      <c r="A41" s="6">
        <v>38</v>
      </c>
      <c r="B41" s="31" t="str">
        <f t="shared" si="1"/>
        <v>효_20-56</v>
      </c>
      <c r="C41" s="6" t="s">
        <v>891</v>
      </c>
      <c r="D41" s="6">
        <v>20</v>
      </c>
      <c r="E41" s="6">
        <v>56</v>
      </c>
      <c r="F41" s="88">
        <v>578100</v>
      </c>
      <c r="G41" s="9">
        <v>123000000</v>
      </c>
      <c r="H41" s="6" t="s">
        <v>936</v>
      </c>
      <c r="I41" s="89" t="str">
        <f t="shared" si="2"/>
        <v>매월 1188000원</v>
      </c>
      <c r="J41" s="94" t="str">
        <f t="shared" si="3"/>
        <v>80,785,000</v>
      </c>
      <c r="K41" s="9">
        <v>23</v>
      </c>
      <c r="L41" s="9">
        <v>44</v>
      </c>
      <c r="M41" s="9">
        <f t="shared" si="0"/>
        <v>67</v>
      </c>
    </row>
    <row r="42" spans="1:13">
      <c r="A42" s="6">
        <v>39</v>
      </c>
      <c r="B42" s="31" t="str">
        <f t="shared" si="1"/>
        <v>미_973-30</v>
      </c>
      <c r="C42" s="6" t="s">
        <v>895</v>
      </c>
      <c r="D42" s="6">
        <v>973</v>
      </c>
      <c r="E42" s="6">
        <v>30</v>
      </c>
      <c r="F42" s="88">
        <v>141000</v>
      </c>
      <c r="G42" s="9">
        <v>30000000</v>
      </c>
      <c r="H42" s="6" t="s">
        <v>937</v>
      </c>
      <c r="I42" s="89" t="str">
        <f t="shared" si="2"/>
        <v>매월 290000원</v>
      </c>
      <c r="J42" s="94" t="str">
        <f t="shared" si="3"/>
        <v>19,704,000</v>
      </c>
      <c r="K42" s="9">
        <v>22</v>
      </c>
      <c r="L42" s="9">
        <v>22</v>
      </c>
      <c r="M42" s="9">
        <f t="shared" si="0"/>
        <v>44</v>
      </c>
    </row>
    <row r="43" spans="1:13">
      <c r="A43" s="6">
        <v>40</v>
      </c>
      <c r="B43" s="31" t="str">
        <f t="shared" si="1"/>
        <v>송_521-15</v>
      </c>
      <c r="C43" s="6" t="s">
        <v>901</v>
      </c>
      <c r="D43" s="6">
        <v>521</v>
      </c>
      <c r="E43" s="6">
        <v>15</v>
      </c>
      <c r="F43" s="88">
        <v>423000</v>
      </c>
      <c r="G43" s="9">
        <v>90000000</v>
      </c>
      <c r="H43" s="6" t="s">
        <v>938</v>
      </c>
      <c r="I43" s="89" t="str">
        <f t="shared" si="2"/>
        <v>매월 869000원</v>
      </c>
      <c r="J43" s="94" t="str">
        <f t="shared" si="3"/>
        <v>59,111,000</v>
      </c>
      <c r="K43" s="9">
        <v>31</v>
      </c>
      <c r="L43" s="9">
        <v>51</v>
      </c>
      <c r="M43" s="9">
        <f t="shared" si="0"/>
        <v>82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899C6-E2AD-4D75-8BDC-4776E249AD5A}">
  <sheetPr codeName="Sheet14"/>
  <dimension ref="A1:M25"/>
  <sheetViews>
    <sheetView workbookViewId="0">
      <selection activeCell="K3" sqref="K3:M4"/>
    </sheetView>
  </sheetViews>
  <sheetFormatPr defaultRowHeight="16.5"/>
  <cols>
    <col min="1" max="1" width="15.5" bestFit="1" customWidth="1"/>
    <col min="2" max="2" width="17.75" customWidth="1"/>
    <col min="3" max="3" width="9.625" customWidth="1"/>
    <col min="4" max="4" width="10.25" customWidth="1"/>
    <col min="5" max="5" width="10.25" bestFit="1" customWidth="1"/>
    <col min="6" max="6" width="11.625" customWidth="1"/>
    <col min="7" max="7" width="17.25" bestFit="1" customWidth="1"/>
    <col min="9" max="9" width="3" customWidth="1"/>
    <col min="10" max="10" width="17.25" customWidth="1"/>
    <col min="11" max="11" width="11" customWidth="1"/>
    <col min="12" max="13" width="7.75" customWidth="1"/>
  </cols>
  <sheetData>
    <row r="1" spans="1:13">
      <c r="A1" t="s">
        <v>393</v>
      </c>
      <c r="J1" t="s">
        <v>939</v>
      </c>
    </row>
    <row r="2" spans="1:13">
      <c r="A2" s="91" t="s">
        <v>940</v>
      </c>
      <c r="B2" s="30" t="s">
        <v>941</v>
      </c>
      <c r="C2" s="30" t="s">
        <v>395</v>
      </c>
      <c r="D2" s="30" t="s">
        <v>942</v>
      </c>
      <c r="E2" s="30" t="s">
        <v>943</v>
      </c>
      <c r="F2" s="30" t="s">
        <v>944</v>
      </c>
      <c r="G2" s="91" t="s">
        <v>945</v>
      </c>
      <c r="H2" s="91" t="s">
        <v>946</v>
      </c>
      <c r="J2" s="30" t="s">
        <v>395</v>
      </c>
      <c r="K2" s="91">
        <v>2023</v>
      </c>
      <c r="L2" s="91">
        <v>2024</v>
      </c>
      <c r="M2" s="91">
        <v>2025</v>
      </c>
    </row>
    <row r="3" spans="1:13">
      <c r="A3" s="30"/>
      <c r="B3" s="6" t="s">
        <v>947</v>
      </c>
      <c r="C3" s="6" t="s">
        <v>948</v>
      </c>
      <c r="D3" s="9">
        <v>2545400</v>
      </c>
      <c r="E3" s="30" t="s">
        <v>949</v>
      </c>
      <c r="F3" s="30" t="s">
        <v>950</v>
      </c>
      <c r="G3" s="30" t="str">
        <f>fn납부방법(E3,F3)</f>
        <v>2025인터넷수납</v>
      </c>
      <c r="H3" s="30" t="str">
        <f>IF(ISNUMBER(SEARCH("주택",$B3)),"주택","")</f>
        <v>주택</v>
      </c>
      <c r="I3" s="92"/>
      <c r="J3" s="6" t="s">
        <v>948</v>
      </c>
      <c r="K3" s="56" t="str">
        <f t="shared" ref="K3:M4" si="0">TEXT(SUMIFS($D$3:$D$25,$E$3:$E$25,K$2&amp;"*",$C$3:$C$25,$J3) /SUMIFS($D$3:$D$25,$E$3:$E$25,K$2&amp;"*"),"0.0%")</f>
        <v>97.8%</v>
      </c>
      <c r="L3" s="56" t="str">
        <f t="shared" si="0"/>
        <v>98.6%</v>
      </c>
      <c r="M3" s="56" t="str">
        <f t="shared" si="0"/>
        <v>99.3%</v>
      </c>
    </row>
    <row r="4" spans="1:13">
      <c r="A4" s="30"/>
      <c r="B4" s="6" t="s">
        <v>951</v>
      </c>
      <c r="C4" s="6" t="s">
        <v>948</v>
      </c>
      <c r="D4" s="9">
        <v>2339080</v>
      </c>
      <c r="E4" s="30" t="s">
        <v>952</v>
      </c>
      <c r="F4" s="30" t="s">
        <v>953</v>
      </c>
      <c r="G4" s="30" t="str">
        <f t="shared" ref="G4:G25" si="1">fn납부방법(E4,F4)</f>
        <v>2025전용계좌수납</v>
      </c>
      <c r="H4" s="30" t="str">
        <f t="shared" ref="H4:H25" si="2">IF(ISNUMBER(SEARCH("주택",$B4)),"주택","")</f>
        <v/>
      </c>
      <c r="I4" s="92"/>
      <c r="J4" s="6" t="s">
        <v>954</v>
      </c>
      <c r="K4" s="56" t="str">
        <f t="shared" si="0"/>
        <v>2.2%</v>
      </c>
      <c r="L4" s="56" t="str">
        <f t="shared" si="0"/>
        <v>1.4%</v>
      </c>
      <c r="M4" s="56" t="str">
        <f t="shared" si="0"/>
        <v>0.7%</v>
      </c>
    </row>
    <row r="5" spans="1:13">
      <c r="A5" s="30"/>
      <c r="B5" s="6" t="s">
        <v>955</v>
      </c>
      <c r="C5" s="6" t="s">
        <v>948</v>
      </c>
      <c r="D5" s="9">
        <v>3858620</v>
      </c>
      <c r="E5" s="30" t="s">
        <v>956</v>
      </c>
      <c r="F5" s="30" t="s">
        <v>957</v>
      </c>
      <c r="G5" s="30" t="str">
        <f t="shared" si="1"/>
        <v>2025전용계좌수납</v>
      </c>
      <c r="H5" s="30" t="str">
        <f t="shared" si="2"/>
        <v/>
      </c>
      <c r="I5" s="92"/>
    </row>
    <row r="6" spans="1:13">
      <c r="A6" s="30"/>
      <c r="B6" s="6" t="s">
        <v>958</v>
      </c>
      <c r="C6" s="6" t="s">
        <v>948</v>
      </c>
      <c r="D6" s="9">
        <v>4904570</v>
      </c>
      <c r="E6" s="30" t="s">
        <v>959</v>
      </c>
      <c r="F6" s="30" t="s">
        <v>953</v>
      </c>
      <c r="G6" s="30" t="str">
        <f t="shared" si="1"/>
        <v>2025전용계좌수납</v>
      </c>
      <c r="H6" s="30" t="str">
        <f t="shared" si="2"/>
        <v>주택</v>
      </c>
      <c r="I6" s="92"/>
    </row>
    <row r="7" spans="1:13">
      <c r="A7" s="30"/>
      <c r="B7" s="6" t="s">
        <v>960</v>
      </c>
      <c r="C7" s="6" t="s">
        <v>954</v>
      </c>
      <c r="D7" s="9">
        <v>42000</v>
      </c>
      <c r="E7" s="30" t="s">
        <v>961</v>
      </c>
      <c r="F7" s="30" t="s">
        <v>950</v>
      </c>
      <c r="G7" s="30" t="str">
        <f t="shared" si="1"/>
        <v>2025인터넷수납</v>
      </c>
      <c r="H7" s="30" t="str">
        <f t="shared" si="2"/>
        <v/>
      </c>
      <c r="I7" s="92"/>
      <c r="J7" t="s">
        <v>962</v>
      </c>
    </row>
    <row r="8" spans="1:13">
      <c r="A8" s="30"/>
      <c r="B8" s="6" t="s">
        <v>963</v>
      </c>
      <c r="C8" s="6" t="s">
        <v>954</v>
      </c>
      <c r="D8" s="9">
        <v>58500</v>
      </c>
      <c r="E8" s="30" t="s">
        <v>964</v>
      </c>
      <c r="F8" s="30" t="s">
        <v>957</v>
      </c>
      <c r="G8" s="30" t="str">
        <f t="shared" si="1"/>
        <v>2025전용계좌수납</v>
      </c>
      <c r="H8" s="30" t="str">
        <f t="shared" si="2"/>
        <v/>
      </c>
      <c r="I8" s="92"/>
      <c r="J8" s="30" t="s">
        <v>941</v>
      </c>
      <c r="K8" s="91" t="s">
        <v>943</v>
      </c>
    </row>
    <row r="9" spans="1:13">
      <c r="A9" s="30"/>
      <c r="B9" s="6" t="s">
        <v>965</v>
      </c>
      <c r="C9" s="6" t="s">
        <v>948</v>
      </c>
      <c r="D9" s="9">
        <v>18900</v>
      </c>
      <c r="E9" s="30" t="s">
        <v>966</v>
      </c>
      <c r="F9" s="30" t="s">
        <v>953</v>
      </c>
      <c r="G9" s="30" t="str">
        <f t="shared" si="1"/>
        <v>2025전용계좌수납</v>
      </c>
      <c r="H9" s="30" t="str">
        <f t="shared" si="2"/>
        <v/>
      </c>
      <c r="I9" s="92"/>
      <c r="J9" s="6" t="s">
        <v>967</v>
      </c>
      <c r="K9" s="56" t="str">
        <f t="array" ref="K9">VLOOKUP(LARGE((($B$3:$B$25)=$J9)*($D$3:$D$25),1),$D$3:$E$25,2,FALSE)</f>
        <v>2024.05.05</v>
      </c>
    </row>
    <row r="10" spans="1:13">
      <c r="A10" s="30"/>
      <c r="B10" s="6" t="s">
        <v>967</v>
      </c>
      <c r="C10" s="6" t="s">
        <v>948</v>
      </c>
      <c r="D10" s="9">
        <v>180110</v>
      </c>
      <c r="E10" s="30" t="s">
        <v>968</v>
      </c>
      <c r="F10" s="30" t="s">
        <v>957</v>
      </c>
      <c r="G10" s="30" t="str">
        <f t="shared" si="1"/>
        <v>2023전용계좌수납</v>
      </c>
      <c r="H10" s="30" t="str">
        <f t="shared" si="2"/>
        <v/>
      </c>
      <c r="I10" s="92"/>
      <c r="J10" s="6" t="s">
        <v>969</v>
      </c>
      <c r="K10" s="56" t="str">
        <f t="array" ref="K10">VLOOKUP(LARGE((($B$3:$B$25)=$J10)*($D$3:$D$25),1),$D$3:$E$25,2,FALSE)</f>
        <v>2025.06.05</v>
      </c>
    </row>
    <row r="11" spans="1:13">
      <c r="A11" s="30"/>
      <c r="B11" s="6" t="s">
        <v>969</v>
      </c>
      <c r="C11" s="6" t="s">
        <v>948</v>
      </c>
      <c r="D11" s="9">
        <v>57500</v>
      </c>
      <c r="E11" s="30" t="s">
        <v>970</v>
      </c>
      <c r="F11" s="30" t="s">
        <v>950</v>
      </c>
      <c r="G11" s="30" t="str">
        <f t="shared" si="1"/>
        <v>2025인터넷수납</v>
      </c>
      <c r="H11" s="30" t="str">
        <f t="shared" si="2"/>
        <v/>
      </c>
      <c r="I11" s="92"/>
      <c r="J11" s="6" t="s">
        <v>963</v>
      </c>
      <c r="K11" s="56" t="str">
        <f t="array" ref="K11">VLOOKUP(LARGE((($B$3:$B$25)=$J11)*($D$3:$D$25),1),$D$3:$E$25,2,FALSE)</f>
        <v>2025.07.22</v>
      </c>
    </row>
    <row r="12" spans="1:13">
      <c r="A12" s="30"/>
      <c r="B12" s="6" t="s">
        <v>951</v>
      </c>
      <c r="C12" s="6" t="s">
        <v>948</v>
      </c>
      <c r="D12" s="9">
        <v>992700</v>
      </c>
      <c r="E12" s="30" t="s">
        <v>971</v>
      </c>
      <c r="F12" s="30" t="s">
        <v>953</v>
      </c>
      <c r="G12" s="30" t="str">
        <f t="shared" si="1"/>
        <v>2024전용계좌수납</v>
      </c>
      <c r="H12" s="30" t="str">
        <f t="shared" si="2"/>
        <v/>
      </c>
      <c r="I12" s="92"/>
      <c r="J12" s="6" t="s">
        <v>955</v>
      </c>
      <c r="K12" s="56" t="str">
        <f t="array" ref="K12">VLOOKUP(LARGE((($B$3:$B$25)=$J12)*($D$3:$D$25),1),$D$3:$E$25,2,FALSE)</f>
        <v>2025.01.29</v>
      </c>
    </row>
    <row r="13" spans="1:13">
      <c r="A13" s="30"/>
      <c r="B13" s="6" t="s">
        <v>955</v>
      </c>
      <c r="C13" s="6" t="s">
        <v>948</v>
      </c>
      <c r="D13" s="9">
        <v>1138000</v>
      </c>
      <c r="E13" s="30" t="s">
        <v>972</v>
      </c>
      <c r="F13" s="30" t="s">
        <v>957</v>
      </c>
      <c r="G13" s="30" t="str">
        <f t="shared" si="1"/>
        <v>2024전용계좌수납</v>
      </c>
      <c r="H13" s="30" t="str">
        <f t="shared" si="2"/>
        <v/>
      </c>
      <c r="I13" s="92"/>
      <c r="J13" s="6" t="s">
        <v>958</v>
      </c>
      <c r="K13" s="56" t="str">
        <f t="array" ref="K13">VLOOKUP(LARGE((($B$3:$B$25)=$J13)*($D$3:$D$25),1),$D$3:$E$25,2,FALSE)</f>
        <v>2025.12.24</v>
      </c>
    </row>
    <row r="14" spans="1:13">
      <c r="A14" s="30"/>
      <c r="B14" s="6" t="s">
        <v>958</v>
      </c>
      <c r="C14" s="6" t="s">
        <v>948</v>
      </c>
      <c r="D14" s="9">
        <v>2686210</v>
      </c>
      <c r="E14" s="30" t="s">
        <v>973</v>
      </c>
      <c r="F14" s="30" t="s">
        <v>950</v>
      </c>
      <c r="G14" s="30" t="str">
        <f t="shared" si="1"/>
        <v>2024인터넷수납</v>
      </c>
      <c r="H14" s="30" t="str">
        <f t="shared" si="2"/>
        <v>주택</v>
      </c>
      <c r="I14" s="92"/>
      <c r="J14" s="6" t="s">
        <v>965</v>
      </c>
      <c r="K14" s="56" t="str">
        <f t="array" ref="K14">VLOOKUP(LARGE((($B$3:$B$25)=$J14)*($D$3:$D$25),1),$D$3:$E$25,2,FALSE)</f>
        <v>2023.04.04</v>
      </c>
    </row>
    <row r="15" spans="1:13">
      <c r="A15" s="30"/>
      <c r="B15" s="6" t="s">
        <v>965</v>
      </c>
      <c r="C15" s="6" t="s">
        <v>948</v>
      </c>
      <c r="D15" s="9">
        <v>20120</v>
      </c>
      <c r="E15" s="30" t="s">
        <v>974</v>
      </c>
      <c r="F15" s="30" t="s">
        <v>957</v>
      </c>
      <c r="G15" s="30" t="str">
        <f t="shared" si="1"/>
        <v>2024전용계좌수납</v>
      </c>
      <c r="H15" s="30" t="str">
        <f t="shared" si="2"/>
        <v/>
      </c>
      <c r="I15" s="92"/>
      <c r="J15" s="6" t="s">
        <v>960</v>
      </c>
      <c r="K15" s="56" t="str">
        <f t="array" ref="K15">VLOOKUP(LARGE((($B$3:$B$25)=$J15)*($D$3:$D$25),1),$D$3:$E$25,2,FALSE)</f>
        <v>2023.08.09</v>
      </c>
    </row>
    <row r="16" spans="1:13">
      <c r="A16" s="30"/>
      <c r="B16" s="6" t="s">
        <v>951</v>
      </c>
      <c r="C16" s="6" t="s">
        <v>948</v>
      </c>
      <c r="D16" s="9">
        <v>564830</v>
      </c>
      <c r="E16" s="30" t="s">
        <v>975</v>
      </c>
      <c r="F16" s="30" t="s">
        <v>953</v>
      </c>
      <c r="G16" s="30" t="str">
        <f t="shared" si="1"/>
        <v>2023전용계좌수납</v>
      </c>
      <c r="H16" s="30" t="str">
        <f t="shared" si="2"/>
        <v/>
      </c>
      <c r="I16" s="92"/>
      <c r="J16" s="6" t="s">
        <v>951</v>
      </c>
      <c r="K16" s="56" t="str">
        <f t="array" ref="K16">VLOOKUP(LARGE((($B$3:$B$25)=$J16)*($D$3:$D$25),1),$D$3:$E$25,2,FALSE)</f>
        <v>2025.06.18</v>
      </c>
    </row>
    <row r="17" spans="1:11">
      <c r="A17" s="30"/>
      <c r="B17" s="6" t="s">
        <v>955</v>
      </c>
      <c r="C17" s="6" t="s">
        <v>948</v>
      </c>
      <c r="D17" s="9">
        <v>436240</v>
      </c>
      <c r="E17" s="30" t="s">
        <v>976</v>
      </c>
      <c r="F17" s="30" t="s">
        <v>957</v>
      </c>
      <c r="G17" s="30" t="str">
        <f t="shared" si="1"/>
        <v>2023전용계좌수납</v>
      </c>
      <c r="H17" s="30" t="str">
        <f t="shared" si="2"/>
        <v/>
      </c>
      <c r="I17" s="92"/>
      <c r="J17" s="6" t="s">
        <v>947</v>
      </c>
      <c r="K17" s="56" t="str">
        <f t="array" ref="K17">VLOOKUP(LARGE((($B$3:$B$25)=$J17)*($D$3:$D$25),1),$D$3:$E$25,2,FALSE)</f>
        <v>2025.05.12</v>
      </c>
    </row>
    <row r="18" spans="1:11">
      <c r="A18" s="30"/>
      <c r="B18" s="6" t="s">
        <v>958</v>
      </c>
      <c r="C18" s="6" t="s">
        <v>948</v>
      </c>
      <c r="D18" s="9">
        <v>4020320</v>
      </c>
      <c r="E18" s="30" t="s">
        <v>977</v>
      </c>
      <c r="F18" s="30" t="s">
        <v>950</v>
      </c>
      <c r="G18" s="30" t="str">
        <f t="shared" si="1"/>
        <v>2023인터넷수납</v>
      </c>
      <c r="H18" s="30" t="str">
        <f t="shared" si="2"/>
        <v>주택</v>
      </c>
      <c r="I18" s="92"/>
    </row>
    <row r="19" spans="1:11">
      <c r="A19" s="30"/>
      <c r="B19" s="6" t="s">
        <v>965</v>
      </c>
      <c r="C19" s="6" t="s">
        <v>948</v>
      </c>
      <c r="D19" s="9">
        <v>28160</v>
      </c>
      <c r="E19" s="30" t="s">
        <v>978</v>
      </c>
      <c r="F19" s="30" t="s">
        <v>953</v>
      </c>
      <c r="G19" s="30" t="str">
        <f t="shared" si="1"/>
        <v>2023전용계좌수납</v>
      </c>
      <c r="H19" s="30" t="str">
        <f t="shared" si="2"/>
        <v/>
      </c>
      <c r="I19" s="92"/>
    </row>
    <row r="20" spans="1:11">
      <c r="A20" s="30"/>
      <c r="B20" s="6" t="s">
        <v>960</v>
      </c>
      <c r="C20" s="6" t="s">
        <v>954</v>
      </c>
      <c r="D20" s="9">
        <v>45000</v>
      </c>
      <c r="E20" s="30" t="s">
        <v>979</v>
      </c>
      <c r="F20" s="30" t="s">
        <v>957</v>
      </c>
      <c r="G20" s="30" t="str">
        <f t="shared" si="1"/>
        <v>2024전용계좌수납</v>
      </c>
      <c r="H20" s="30" t="str">
        <f t="shared" si="2"/>
        <v/>
      </c>
      <c r="I20" s="92"/>
    </row>
    <row r="21" spans="1:11">
      <c r="A21" s="30"/>
      <c r="B21" s="6" t="s">
        <v>963</v>
      </c>
      <c r="C21" s="6" t="s">
        <v>954</v>
      </c>
      <c r="D21" s="9">
        <v>28800</v>
      </c>
      <c r="E21" s="30" t="s">
        <v>980</v>
      </c>
      <c r="F21" s="30" t="s">
        <v>950</v>
      </c>
      <c r="G21" s="30" t="str">
        <f t="shared" si="1"/>
        <v>2024인터넷수납</v>
      </c>
      <c r="H21" s="30" t="str">
        <f t="shared" si="2"/>
        <v/>
      </c>
      <c r="I21" s="92"/>
    </row>
    <row r="22" spans="1:11">
      <c r="A22" s="30"/>
      <c r="B22" s="6" t="s">
        <v>960</v>
      </c>
      <c r="C22" s="6" t="s">
        <v>954</v>
      </c>
      <c r="D22" s="9">
        <v>75000</v>
      </c>
      <c r="E22" s="30" t="s">
        <v>981</v>
      </c>
      <c r="F22" s="30" t="s">
        <v>953</v>
      </c>
      <c r="G22" s="30" t="str">
        <f t="shared" si="1"/>
        <v>2023전용계좌수납</v>
      </c>
      <c r="H22" s="30" t="str">
        <f t="shared" si="2"/>
        <v/>
      </c>
      <c r="I22" s="92"/>
    </row>
    <row r="23" spans="1:11">
      <c r="A23" s="30"/>
      <c r="B23" s="6" t="s">
        <v>963</v>
      </c>
      <c r="C23" s="6" t="s">
        <v>954</v>
      </c>
      <c r="D23" s="9">
        <v>42000</v>
      </c>
      <c r="E23" s="30" t="s">
        <v>982</v>
      </c>
      <c r="F23" s="30" t="s">
        <v>950</v>
      </c>
      <c r="G23" s="30" t="str">
        <f t="shared" si="1"/>
        <v>2023인터넷수납</v>
      </c>
      <c r="H23" s="30" t="str">
        <f t="shared" si="2"/>
        <v/>
      </c>
      <c r="I23" s="92"/>
    </row>
    <row r="24" spans="1:11">
      <c r="A24" s="30"/>
      <c r="B24" s="6" t="s">
        <v>967</v>
      </c>
      <c r="C24" s="6" t="s">
        <v>948</v>
      </c>
      <c r="D24" s="9">
        <v>281610</v>
      </c>
      <c r="E24" s="30" t="s">
        <v>983</v>
      </c>
      <c r="F24" s="30" t="s">
        <v>953</v>
      </c>
      <c r="G24" s="30" t="str">
        <f t="shared" si="1"/>
        <v>2024전용계좌수납</v>
      </c>
      <c r="H24" s="30" t="str">
        <f t="shared" si="2"/>
        <v/>
      </c>
      <c r="I24" s="92"/>
    </row>
    <row r="25" spans="1:11">
      <c r="A25" s="30"/>
      <c r="B25" s="6" t="s">
        <v>969</v>
      </c>
      <c r="C25" s="6" t="s">
        <v>948</v>
      </c>
      <c r="D25" s="9">
        <v>41920</v>
      </c>
      <c r="E25" s="30" t="s">
        <v>984</v>
      </c>
      <c r="F25" s="30" t="s">
        <v>950</v>
      </c>
      <c r="G25" s="30" t="str">
        <f t="shared" si="1"/>
        <v>2023인터넷수납</v>
      </c>
      <c r="H25" s="30" t="str">
        <f t="shared" si="2"/>
        <v/>
      </c>
      <c r="I25" s="92"/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F342B-59C6-42BC-BF6B-4C28D34F3DF0}">
  <sheetPr codeName="Sheet15"/>
  <dimension ref="A2:O28"/>
  <sheetViews>
    <sheetView workbookViewId="0">
      <selection activeCell="H30" sqref="H30"/>
    </sheetView>
  </sheetViews>
  <sheetFormatPr defaultRowHeight="16.5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4" width="6.5" bestFit="1" customWidth="1"/>
    <col min="15" max="15" width="6.125" bestFit="1" customWidth="1"/>
  </cols>
  <sheetData>
    <row r="2" spans="1:15">
      <c r="A2" t="s">
        <v>393</v>
      </c>
      <c r="H2" t="s">
        <v>514</v>
      </c>
      <c r="I2" s="23">
        <v>45332</v>
      </c>
      <c r="K2" t="s">
        <v>394</v>
      </c>
    </row>
    <row r="3" spans="1:15">
      <c r="A3" s="30" t="s">
        <v>515</v>
      </c>
      <c r="B3" s="30" t="s">
        <v>411</v>
      </c>
      <c r="C3" s="30" t="s">
        <v>516</v>
      </c>
      <c r="D3" s="30" t="s">
        <v>517</v>
      </c>
      <c r="E3" s="30" t="s">
        <v>518</v>
      </c>
      <c r="F3" s="30" t="s">
        <v>519</v>
      </c>
      <c r="G3" s="30" t="s">
        <v>520</v>
      </c>
      <c r="H3" s="30" t="s">
        <v>521</v>
      </c>
      <c r="I3" s="59" t="s">
        <v>402</v>
      </c>
      <c r="K3" s="30" t="s">
        <v>516</v>
      </c>
      <c r="L3" s="59" t="s">
        <v>522</v>
      </c>
    </row>
    <row r="4" spans="1:15">
      <c r="A4" s="30" t="s">
        <v>523</v>
      </c>
      <c r="B4" s="30" t="s">
        <v>423</v>
      </c>
      <c r="C4" s="30" t="s">
        <v>524</v>
      </c>
      <c r="D4" s="60">
        <v>43681</v>
      </c>
      <c r="E4" s="30">
        <v>173</v>
      </c>
      <c r="F4" s="6" t="s">
        <v>525</v>
      </c>
      <c r="G4" s="6">
        <v>2</v>
      </c>
      <c r="H4" s="6" t="s">
        <v>526</v>
      </c>
      <c r="I4" s="6" t="e">
        <f ca="1">fn비고($F4,$G4,$H4)</f>
        <v>#NAME?</v>
      </c>
      <c r="K4" s="30" t="s">
        <v>527</v>
      </c>
      <c r="L4" s="6">
        <f>AVERAGE(IF(($C$4:$C$28=$K4)*(YEAR($I$2)-YEAR($D4)&gt;=20),$E$4:$E$28))</f>
        <v>0</v>
      </c>
    </row>
    <row r="5" spans="1:15">
      <c r="A5" s="30" t="s">
        <v>528</v>
      </c>
      <c r="B5" s="30" t="s">
        <v>424</v>
      </c>
      <c r="C5" s="30" t="s">
        <v>524</v>
      </c>
      <c r="D5" s="60">
        <v>40241</v>
      </c>
      <c r="E5" s="30">
        <v>331</v>
      </c>
      <c r="F5" s="6" t="s">
        <v>529</v>
      </c>
      <c r="G5" s="6">
        <v>1</v>
      </c>
      <c r="H5" s="6" t="s">
        <v>530</v>
      </c>
      <c r="I5" s="6"/>
      <c r="K5" s="30" t="s">
        <v>524</v>
      </c>
      <c r="L5" s="6" t="e">
        <f t="array" ref="L5">AVERAGE(IF(($C$4:$C$28=$K5)*(YEAR($I$2)-YEAR($D5)&gt;=20),$E$4:$E$28))</f>
        <v>#DIV/0!</v>
      </c>
    </row>
    <row r="6" spans="1:15">
      <c r="A6" s="30" t="s">
        <v>531</v>
      </c>
      <c r="B6" s="30" t="s">
        <v>496</v>
      </c>
      <c r="C6" s="30" t="s">
        <v>527</v>
      </c>
      <c r="D6" s="60">
        <v>40726</v>
      </c>
      <c r="E6" s="30">
        <v>113</v>
      </c>
      <c r="F6" s="6" t="s">
        <v>532</v>
      </c>
      <c r="G6" s="6">
        <v>0</v>
      </c>
      <c r="H6" s="6" t="s">
        <v>533</v>
      </c>
      <c r="I6" s="6"/>
    </row>
    <row r="7" spans="1:15">
      <c r="A7" s="30" t="s">
        <v>534</v>
      </c>
      <c r="B7" s="30" t="s">
        <v>535</v>
      </c>
      <c r="C7" s="30" t="s">
        <v>527</v>
      </c>
      <c r="D7" s="60">
        <v>36481</v>
      </c>
      <c r="E7" s="30">
        <v>351</v>
      </c>
      <c r="F7" s="6" t="s">
        <v>536</v>
      </c>
      <c r="G7" s="6">
        <v>2</v>
      </c>
      <c r="H7" s="6" t="s">
        <v>533</v>
      </c>
      <c r="I7" s="6"/>
      <c r="K7" t="s">
        <v>396</v>
      </c>
    </row>
    <row r="8" spans="1:15">
      <c r="A8" s="30" t="s">
        <v>537</v>
      </c>
      <c r="B8" s="30" t="s">
        <v>538</v>
      </c>
      <c r="C8" s="30" t="s">
        <v>527</v>
      </c>
      <c r="D8" s="60">
        <v>42821</v>
      </c>
      <c r="E8" s="30">
        <v>157</v>
      </c>
      <c r="F8" s="6" t="s">
        <v>539</v>
      </c>
      <c r="G8" s="6">
        <v>0</v>
      </c>
      <c r="H8" s="6" t="s">
        <v>540</v>
      </c>
      <c r="I8" s="6"/>
      <c r="K8" s="30" t="s">
        <v>411</v>
      </c>
      <c r="L8" s="59" t="s">
        <v>541</v>
      </c>
      <c r="M8" s="59" t="s">
        <v>410</v>
      </c>
      <c r="N8" s="59" t="s">
        <v>542</v>
      </c>
      <c r="O8" s="59" t="s">
        <v>543</v>
      </c>
    </row>
    <row r="9" spans="1:15">
      <c r="A9" s="30" t="s">
        <v>544</v>
      </c>
      <c r="B9" s="30" t="s">
        <v>496</v>
      </c>
      <c r="C9" s="30" t="s">
        <v>524</v>
      </c>
      <c r="D9" s="60">
        <v>41735</v>
      </c>
      <c r="E9" s="30">
        <v>332</v>
      </c>
      <c r="F9" s="6" t="s">
        <v>545</v>
      </c>
      <c r="G9" s="6">
        <v>0</v>
      </c>
      <c r="H9" s="6"/>
      <c r="I9" s="6"/>
      <c r="K9" s="30" t="s">
        <v>422</v>
      </c>
      <c r="L9" s="6" t="str">
        <f t="array" ref="L9">_xlfn.CONCAT("직영 ",SUM(($B$4:$B$28=$K9)*($C$4:$C$28="직영")),"곳"," - ", "위탁 ", SUM(($B$4:$B$28=$K9)*($C$4:$C$28="위탁")), "곳")</f>
        <v>직영 3곳 - 위탁 1곳</v>
      </c>
      <c r="M9" s="30" t="str">
        <f>TEXT(COUNTIFS($B$4:$B$28,$K9,$F$4:$F$28,"*"&amp;M$8&amp;"*")/COUNTIF($B$4:$B$28,$K9),"0%")</f>
        <v>75%</v>
      </c>
      <c r="N9" s="30" t="str">
        <f>TEXT(COUNTIFS($B$4:$B$28,$K9,$F$4:$F$28,"*"&amp;N$8&amp;"*")/COUNTIF($B$4:$B$28,$K9),"0%")</f>
        <v>75%</v>
      </c>
      <c r="O9" s="30" t="str">
        <f>TEXT(COUNTIFS($B$4:$B$28,$K9,$F$4:$F$28,"*"&amp;O$8&amp;"*")/COUNTIF($B$4:$B$28,$K9),"0%")</f>
        <v>50%</v>
      </c>
    </row>
    <row r="10" spans="1:15">
      <c r="A10" s="30" t="s">
        <v>546</v>
      </c>
      <c r="B10" s="30" t="s">
        <v>547</v>
      </c>
      <c r="C10" s="30" t="s">
        <v>524</v>
      </c>
      <c r="D10" s="60">
        <v>43978</v>
      </c>
      <c r="E10" s="30">
        <v>246</v>
      </c>
      <c r="F10" s="6" t="s">
        <v>548</v>
      </c>
      <c r="G10" s="6">
        <v>2</v>
      </c>
      <c r="H10" s="6" t="s">
        <v>540</v>
      </c>
      <c r="I10" s="6"/>
      <c r="K10" s="30" t="s">
        <v>423</v>
      </c>
      <c r="L10" s="6" t="str">
        <f t="array" ref="L10">_xlfn.CONCAT("직영 ",SUM(($B$4:$B$28=$K10)*($C$4:$C$28="직영")),"곳"," - ", "위탁 ", SUM(($B$4:$B$28=$K10)*($C$4:$C$28="위탁")), "곳")</f>
        <v>직영 1곳 - 위탁 2곳</v>
      </c>
      <c r="M10" s="30" t="str">
        <f t="shared" ref="M10:O16" si="0">TEXT(COUNTIFS($B$4:$B$28,$K10,$F$4:$F$28,"*"&amp;M$8&amp;"*")/COUNTIF($B$4:$B$28,$K10),"0%")</f>
        <v>67%</v>
      </c>
      <c r="N10" s="30" t="str">
        <f t="shared" si="0"/>
        <v>33%</v>
      </c>
      <c r="O10" s="30" t="str">
        <f t="shared" si="0"/>
        <v>33%</v>
      </c>
    </row>
    <row r="11" spans="1:15">
      <c r="A11" s="30" t="s">
        <v>549</v>
      </c>
      <c r="B11" s="30" t="s">
        <v>424</v>
      </c>
      <c r="C11" s="30" t="s">
        <v>527</v>
      </c>
      <c r="D11" s="60">
        <v>45424</v>
      </c>
      <c r="E11" s="30">
        <v>187</v>
      </c>
      <c r="F11" s="6" t="s">
        <v>550</v>
      </c>
      <c r="G11" s="6">
        <v>1</v>
      </c>
      <c r="H11" s="6" t="s">
        <v>551</v>
      </c>
      <c r="I11" s="6"/>
      <c r="K11" s="30" t="s">
        <v>424</v>
      </c>
      <c r="L11" s="6" t="str">
        <f t="array" ref="L11">_xlfn.CONCAT("직영 ",SUM(($B$4:$B$28=$K11)*($C$4:$C$28="직영")),"곳"," - ", "위탁 ", SUM(($B$4:$B$28=$K11)*($C$4:$C$28="위탁")), "곳")</f>
        <v>직영 1곳 - 위탁 2곳</v>
      </c>
      <c r="M11" s="30" t="str">
        <f t="shared" si="0"/>
        <v>67%</v>
      </c>
      <c r="N11" s="30" t="str">
        <f t="shared" si="0"/>
        <v>67%</v>
      </c>
      <c r="O11" s="30" t="str">
        <f t="shared" si="0"/>
        <v>33%</v>
      </c>
    </row>
    <row r="12" spans="1:15">
      <c r="A12" s="30" t="s">
        <v>552</v>
      </c>
      <c r="B12" s="30" t="s">
        <v>496</v>
      </c>
      <c r="C12" s="30" t="s">
        <v>527</v>
      </c>
      <c r="D12" s="60">
        <v>43260</v>
      </c>
      <c r="E12" s="30">
        <v>278</v>
      </c>
      <c r="F12" s="6" t="s">
        <v>553</v>
      </c>
      <c r="G12" s="6">
        <v>1</v>
      </c>
      <c r="H12" s="6" t="s">
        <v>530</v>
      </c>
      <c r="I12" s="6"/>
      <c r="K12" s="30" t="s">
        <v>496</v>
      </c>
      <c r="L12" s="6" t="str">
        <f t="array" ref="L12">_xlfn.CONCAT("직영 ",SUM(($B$4:$B$28=$K12)*($C$4:$C$28="직영")),"곳"," - ", "위탁 ", SUM(($B$4:$B$28=$K12)*($C$4:$C$28="위탁")), "곳")</f>
        <v>직영 2곳 - 위탁 2곳</v>
      </c>
      <c r="M12" s="30" t="str">
        <f t="shared" si="0"/>
        <v>50%</v>
      </c>
      <c r="N12" s="30" t="str">
        <f t="shared" si="0"/>
        <v>25%</v>
      </c>
      <c r="O12" s="30" t="str">
        <f t="shared" si="0"/>
        <v>25%</v>
      </c>
    </row>
    <row r="13" spans="1:15">
      <c r="A13" s="30" t="s">
        <v>554</v>
      </c>
      <c r="B13" s="30" t="s">
        <v>555</v>
      </c>
      <c r="C13" s="30" t="s">
        <v>524</v>
      </c>
      <c r="D13" s="60">
        <v>41922</v>
      </c>
      <c r="E13" s="30">
        <v>112</v>
      </c>
      <c r="F13" s="6" t="s">
        <v>556</v>
      </c>
      <c r="G13" s="6">
        <v>1</v>
      </c>
      <c r="H13" s="6" t="s">
        <v>530</v>
      </c>
      <c r="I13" s="6"/>
      <c r="K13" s="30" t="s">
        <v>547</v>
      </c>
      <c r="L13" s="6" t="str">
        <f t="array" ref="L13">_xlfn.CONCAT("직영 ",SUM(($B$4:$B$28=$K13)*($C$4:$C$28="직영")),"곳"," - ", "위탁 ", SUM(($B$4:$B$28=$K13)*($C$4:$C$28="위탁")), "곳")</f>
        <v>직영 2곳 - 위탁 2곳</v>
      </c>
      <c r="M13" s="30" t="str">
        <f t="shared" si="0"/>
        <v>75%</v>
      </c>
      <c r="N13" s="30" t="str">
        <f t="shared" si="0"/>
        <v>50%</v>
      </c>
      <c r="O13" s="30" t="str">
        <f t="shared" si="0"/>
        <v>25%</v>
      </c>
    </row>
    <row r="14" spans="1:15">
      <c r="A14" s="30" t="s">
        <v>557</v>
      </c>
      <c r="B14" s="30" t="s">
        <v>558</v>
      </c>
      <c r="C14" s="30" t="s">
        <v>524</v>
      </c>
      <c r="D14" s="60">
        <v>40472</v>
      </c>
      <c r="E14" s="30">
        <v>163</v>
      </c>
      <c r="F14" s="6" t="s">
        <v>559</v>
      </c>
      <c r="G14" s="6">
        <v>0</v>
      </c>
      <c r="H14" s="6" t="s">
        <v>551</v>
      </c>
      <c r="I14" s="6"/>
      <c r="K14" s="30" t="s">
        <v>535</v>
      </c>
      <c r="L14" s="6" t="str">
        <f t="array" ref="L14">_xlfn.CONCAT("직영 ",SUM(($B$4:$B$28=$K14)*($C$4:$C$28="직영")),"곳"," - ", "위탁 ", SUM(($B$4:$B$28=$K14)*($C$4:$C$28="위탁")), "곳")</f>
        <v>직영 2곳 - 위탁 1곳</v>
      </c>
      <c r="M14" s="30" t="str">
        <f t="shared" si="0"/>
        <v>67%</v>
      </c>
      <c r="N14" s="30" t="str">
        <f t="shared" si="0"/>
        <v>33%</v>
      </c>
      <c r="O14" s="30" t="str">
        <f t="shared" si="0"/>
        <v>67%</v>
      </c>
    </row>
    <row r="15" spans="1:15">
      <c r="A15" s="30" t="s">
        <v>560</v>
      </c>
      <c r="B15" s="30" t="s">
        <v>422</v>
      </c>
      <c r="C15" s="30" t="s">
        <v>527</v>
      </c>
      <c r="D15" s="60">
        <v>40706</v>
      </c>
      <c r="E15" s="30">
        <v>524</v>
      </c>
      <c r="F15" s="6" t="s">
        <v>525</v>
      </c>
      <c r="G15" s="6">
        <v>1</v>
      </c>
      <c r="H15" s="6" t="s">
        <v>540</v>
      </c>
      <c r="I15" s="6"/>
      <c r="K15" s="30" t="s">
        <v>558</v>
      </c>
      <c r="L15" s="6" t="str">
        <f t="array" ref="L15">_xlfn.CONCAT("직영 ",SUM(($B$4:$B$28=$K15)*($C$4:$C$28="직영")),"곳"," - ", "위탁 ", SUM(($B$4:$B$28=$K15)*($C$4:$C$28="위탁")), "곳")</f>
        <v>직영 0곳 - 위탁 2곳</v>
      </c>
      <c r="M15" s="30" t="str">
        <f t="shared" si="0"/>
        <v>0%</v>
      </c>
      <c r="N15" s="30" t="str">
        <f t="shared" si="0"/>
        <v>100%</v>
      </c>
      <c r="O15" s="30" t="str">
        <f t="shared" si="0"/>
        <v>50%</v>
      </c>
    </row>
    <row r="16" spans="1:15">
      <c r="A16" s="30" t="s">
        <v>561</v>
      </c>
      <c r="B16" s="30" t="s">
        <v>555</v>
      </c>
      <c r="C16" s="30" t="s">
        <v>527</v>
      </c>
      <c r="D16" s="60">
        <v>38095</v>
      </c>
      <c r="E16" s="30">
        <v>238</v>
      </c>
      <c r="F16" s="6" t="s">
        <v>562</v>
      </c>
      <c r="G16" s="6">
        <v>0</v>
      </c>
      <c r="H16" s="6" t="s">
        <v>540</v>
      </c>
      <c r="I16" s="6"/>
      <c r="K16" s="30" t="s">
        <v>538</v>
      </c>
      <c r="L16" s="6" t="str">
        <f t="array" ref="L16">_xlfn.CONCAT("직영 ",SUM(($B$4:$B$28=$K16)*($C$4:$C$28="직영")),"곳"," - ", "위탁 ", SUM(($B$4:$B$28=$K16)*($C$4:$C$28="위탁")), "곳")</f>
        <v>직영 2곳 - 위탁 0곳</v>
      </c>
      <c r="M16" s="30" t="str">
        <f t="shared" si="0"/>
        <v>50%</v>
      </c>
      <c r="N16" s="30" t="str">
        <f t="shared" si="0"/>
        <v>50%</v>
      </c>
      <c r="O16" s="30" t="str">
        <f t="shared" si="0"/>
        <v>100%</v>
      </c>
    </row>
    <row r="17" spans="1:14">
      <c r="A17" s="30" t="s">
        <v>563</v>
      </c>
      <c r="B17" s="30" t="s">
        <v>496</v>
      </c>
      <c r="C17" s="30" t="s">
        <v>524</v>
      </c>
      <c r="D17" s="60">
        <v>43062</v>
      </c>
      <c r="E17" s="30">
        <v>136</v>
      </c>
      <c r="F17" s="6" t="s">
        <v>564</v>
      </c>
      <c r="G17" s="6">
        <v>0</v>
      </c>
      <c r="H17" s="6" t="s">
        <v>540</v>
      </c>
      <c r="I17" s="6"/>
    </row>
    <row r="18" spans="1:14">
      <c r="A18" s="30" t="s">
        <v>565</v>
      </c>
      <c r="B18" s="30" t="s">
        <v>547</v>
      </c>
      <c r="C18" s="30" t="s">
        <v>527</v>
      </c>
      <c r="D18" s="60">
        <v>41510</v>
      </c>
      <c r="E18" s="30">
        <v>347</v>
      </c>
      <c r="F18" s="6" t="s">
        <v>536</v>
      </c>
      <c r="G18" s="6">
        <v>1</v>
      </c>
      <c r="H18" s="6" t="s">
        <v>551</v>
      </c>
      <c r="I18" s="6"/>
      <c r="K18" t="s">
        <v>397</v>
      </c>
    </row>
    <row r="19" spans="1:14">
      <c r="A19" s="30" t="s">
        <v>566</v>
      </c>
      <c r="B19" s="30" t="s">
        <v>422</v>
      </c>
      <c r="C19" s="30" t="s">
        <v>527</v>
      </c>
      <c r="D19" s="60">
        <v>44550</v>
      </c>
      <c r="E19" s="30">
        <v>836</v>
      </c>
      <c r="F19" s="6" t="s">
        <v>567</v>
      </c>
      <c r="G19" s="6">
        <v>1</v>
      </c>
      <c r="H19" s="6" t="s">
        <v>530</v>
      </c>
      <c r="I19" s="6"/>
      <c r="K19" s="30" t="s">
        <v>516</v>
      </c>
      <c r="L19" s="59" t="s">
        <v>515</v>
      </c>
    </row>
    <row r="20" spans="1:14">
      <c r="A20" s="30" t="s">
        <v>568</v>
      </c>
      <c r="B20" s="30" t="s">
        <v>423</v>
      </c>
      <c r="C20" s="30" t="s">
        <v>527</v>
      </c>
      <c r="D20" s="60">
        <v>41961</v>
      </c>
      <c r="E20" s="30">
        <v>474</v>
      </c>
      <c r="F20" s="6" t="s">
        <v>569</v>
      </c>
      <c r="G20" s="6">
        <v>0</v>
      </c>
      <c r="H20" s="6" t="s">
        <v>530</v>
      </c>
      <c r="I20" s="6"/>
      <c r="K20" s="30" t="s">
        <v>527</v>
      </c>
      <c r="L20" s="30" t="str">
        <f t="array" ref="L20">INDEX($A$4:$A$28, MATCH(MAX(($C$4:$C$28=$K20)*($E$4:$E$28)),$E$4:$E$28,0),1)</f>
        <v>c01</v>
      </c>
    </row>
    <row r="21" spans="1:14">
      <c r="A21" s="30" t="s">
        <v>570</v>
      </c>
      <c r="B21" s="30" t="s">
        <v>558</v>
      </c>
      <c r="C21" s="30" t="s">
        <v>524</v>
      </c>
      <c r="D21" s="60">
        <v>37020</v>
      </c>
      <c r="E21" s="30">
        <v>531</v>
      </c>
      <c r="F21" s="6" t="s">
        <v>571</v>
      </c>
      <c r="G21" s="6">
        <v>3</v>
      </c>
      <c r="H21" s="6" t="s">
        <v>551</v>
      </c>
      <c r="I21" s="6"/>
      <c r="K21" s="30" t="s">
        <v>524</v>
      </c>
      <c r="L21" s="30" t="str">
        <f t="array" ref="L21">INDEX($A$4:$A$28, MATCH(MAX(($C$4:$C$28=$K21)*($E$4:$E$28)),$E$4:$E$28,0),1)</f>
        <v>d08</v>
      </c>
      <c r="N21" s="61"/>
    </row>
    <row r="22" spans="1:14">
      <c r="A22" s="30" t="s">
        <v>572</v>
      </c>
      <c r="B22" s="30" t="s">
        <v>535</v>
      </c>
      <c r="C22" s="30" t="s">
        <v>527</v>
      </c>
      <c r="D22" s="60">
        <v>41981</v>
      </c>
      <c r="E22" s="30">
        <v>443</v>
      </c>
      <c r="F22" s="6" t="s">
        <v>573</v>
      </c>
      <c r="G22" s="6">
        <v>3</v>
      </c>
      <c r="H22" s="6" t="s">
        <v>574</v>
      </c>
      <c r="I22" s="6"/>
    </row>
    <row r="23" spans="1:14">
      <c r="A23" s="30" t="s">
        <v>575</v>
      </c>
      <c r="B23" s="30" t="s">
        <v>424</v>
      </c>
      <c r="C23" s="30" t="s">
        <v>524</v>
      </c>
      <c r="D23" s="60">
        <v>36955</v>
      </c>
      <c r="E23" s="30">
        <v>200</v>
      </c>
      <c r="F23" s="6" t="s">
        <v>550</v>
      </c>
      <c r="G23" s="6">
        <v>3</v>
      </c>
      <c r="H23" s="6" t="s">
        <v>533</v>
      </c>
      <c r="I23" s="6"/>
    </row>
    <row r="24" spans="1:14">
      <c r="A24" s="30" t="s">
        <v>576</v>
      </c>
      <c r="B24" s="30" t="s">
        <v>423</v>
      </c>
      <c r="C24" s="30" t="s">
        <v>524</v>
      </c>
      <c r="D24" s="60">
        <v>40124</v>
      </c>
      <c r="E24" s="30">
        <v>149</v>
      </c>
      <c r="F24" s="6" t="s">
        <v>577</v>
      </c>
      <c r="G24" s="6">
        <v>0</v>
      </c>
      <c r="H24" s="6" t="s">
        <v>533</v>
      </c>
      <c r="I24" s="6"/>
    </row>
    <row r="25" spans="1:14">
      <c r="A25" s="30" t="s">
        <v>578</v>
      </c>
      <c r="B25" s="30" t="s">
        <v>535</v>
      </c>
      <c r="C25" s="30" t="s">
        <v>524</v>
      </c>
      <c r="D25" s="60">
        <v>40495</v>
      </c>
      <c r="E25" s="30">
        <v>168</v>
      </c>
      <c r="F25" s="6" t="s">
        <v>579</v>
      </c>
      <c r="G25" s="6">
        <v>0</v>
      </c>
      <c r="H25" s="6" t="s">
        <v>533</v>
      </c>
      <c r="I25" s="6"/>
    </row>
    <row r="26" spans="1:14">
      <c r="A26" s="30" t="s">
        <v>580</v>
      </c>
      <c r="B26" s="30" t="s">
        <v>547</v>
      </c>
      <c r="C26" s="30" t="s">
        <v>527</v>
      </c>
      <c r="D26" s="60">
        <v>37635</v>
      </c>
      <c r="E26" s="30">
        <v>129</v>
      </c>
      <c r="F26" s="6" t="s">
        <v>536</v>
      </c>
      <c r="G26" s="6">
        <v>1</v>
      </c>
      <c r="H26" s="6" t="s">
        <v>404</v>
      </c>
      <c r="I26" s="6"/>
    </row>
    <row r="27" spans="1:14">
      <c r="A27" s="30" t="s">
        <v>581</v>
      </c>
      <c r="B27" s="30" t="s">
        <v>538</v>
      </c>
      <c r="C27" s="30" t="s">
        <v>527</v>
      </c>
      <c r="D27" s="60">
        <v>38599</v>
      </c>
      <c r="E27" s="30">
        <v>296</v>
      </c>
      <c r="F27" s="6" t="s">
        <v>582</v>
      </c>
      <c r="G27" s="6">
        <v>2</v>
      </c>
      <c r="H27" s="6" t="s">
        <v>530</v>
      </c>
      <c r="I27" s="6"/>
    </row>
    <row r="28" spans="1:14">
      <c r="A28" s="30" t="s">
        <v>583</v>
      </c>
      <c r="B28" s="30" t="s">
        <v>547</v>
      </c>
      <c r="C28" s="30" t="s">
        <v>524</v>
      </c>
      <c r="D28" s="60">
        <v>40963</v>
      </c>
      <c r="E28" s="30">
        <v>152</v>
      </c>
      <c r="F28" s="6" t="s">
        <v>584</v>
      </c>
      <c r="G28" s="6">
        <v>3</v>
      </c>
      <c r="H28" s="6" t="s">
        <v>404</v>
      </c>
      <c r="I28" s="6"/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DB6A3-50FB-4961-8B08-5CE8888F947E}">
  <sheetPr codeName="Sheet16"/>
  <dimension ref="A1:T36"/>
  <sheetViews>
    <sheetView workbookViewId="0">
      <selection activeCell="B9" sqref="B9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393</v>
      </c>
    </row>
    <row r="2" spans="1:20">
      <c r="A2" s="62" t="s">
        <v>585</v>
      </c>
      <c r="B2" s="57" t="s">
        <v>586</v>
      </c>
      <c r="C2" s="57" t="s">
        <v>587</v>
      </c>
      <c r="D2" s="57" t="s">
        <v>588</v>
      </c>
      <c r="E2" s="57" t="s">
        <v>589</v>
      </c>
      <c r="F2" s="57" t="s">
        <v>590</v>
      </c>
      <c r="G2" s="57" t="s">
        <v>591</v>
      </c>
      <c r="H2" s="62" t="s">
        <v>592</v>
      </c>
      <c r="I2" s="57" t="s">
        <v>593</v>
      </c>
      <c r="J2" s="57" t="s">
        <v>594</v>
      </c>
      <c r="K2" s="57" t="s">
        <v>595</v>
      </c>
      <c r="L2" s="57" t="s">
        <v>420</v>
      </c>
      <c r="M2" s="62" t="s">
        <v>419</v>
      </c>
      <c r="O2" s="105" t="s">
        <v>596</v>
      </c>
      <c r="P2" s="107"/>
    </row>
    <row r="3" spans="1:20">
      <c r="A3" s="57" t="str">
        <f t="array" ref="A3">$B3&amp;"-"&amp;SUM(IF( ( $B$3:$B$35=$B3)*($F3&gt;=$F$3:$F$35 ), 1))</f>
        <v>453555-1</v>
      </c>
      <c r="B3" s="57">
        <v>453555</v>
      </c>
      <c r="C3" s="57" t="s">
        <v>597</v>
      </c>
      <c r="D3" s="57">
        <v>48</v>
      </c>
      <c r="E3" s="57" t="s">
        <v>598</v>
      </c>
      <c r="F3" s="63">
        <v>45296</v>
      </c>
      <c r="G3" s="57" t="s">
        <v>599</v>
      </c>
      <c r="H3" s="57" t="str">
        <f>INDEX($P$7:$T$9, MATCH(MID($G3,7,1),$O$7:$O$9,0), MATCH(MID($G3,8,2),$P$6:$T$6,0))</f>
        <v>주세정제</v>
      </c>
      <c r="I3" s="64">
        <v>6</v>
      </c>
      <c r="J3" s="64">
        <v>18</v>
      </c>
      <c r="K3" s="64">
        <v>5</v>
      </c>
      <c r="L3" s="65">
        <v>150</v>
      </c>
      <c r="M3" s="66">
        <f>fn금액(E3,I3,J3,K3,L3)</f>
        <v>97200</v>
      </c>
      <c r="N3" s="67"/>
      <c r="O3" s="106"/>
      <c r="P3" s="107"/>
    </row>
    <row r="4" spans="1:20">
      <c r="A4" s="57" t="str">
        <f t="array" ref="A4">$B4&amp;"-"&amp;SUM(IF( ( $B$3:$B$35=$B4)*($F4&gt;=$F$3:$F$35 ), 1))</f>
        <v>792876-1</v>
      </c>
      <c r="B4" s="57">
        <v>792876</v>
      </c>
      <c r="C4" s="57" t="s">
        <v>597</v>
      </c>
      <c r="D4" s="57">
        <v>53</v>
      </c>
      <c r="E4" s="57" t="s">
        <v>598</v>
      </c>
      <c r="F4" s="63">
        <v>45298</v>
      </c>
      <c r="G4" s="57" t="s">
        <v>600</v>
      </c>
      <c r="H4" s="57" t="str">
        <f>INDEX($P$7:$T$9, MATCH(MID($G4,7,1),$O$7:$O$9,0), MATCH(MID($G4,8,2),$P$6:$T$6,0))</f>
        <v>외용경질캡슐제</v>
      </c>
      <c r="I4" s="64">
        <v>2</v>
      </c>
      <c r="J4" s="64">
        <v>2</v>
      </c>
      <c r="K4" s="64">
        <v>2</v>
      </c>
      <c r="L4" s="65">
        <v>170</v>
      </c>
      <c r="M4" s="66">
        <f t="shared" ref="M4:M35" si="0">fn금액(E4,I4,J4,K4,L4)</f>
        <v>1632</v>
      </c>
      <c r="N4" s="67"/>
      <c r="P4" s="68"/>
    </row>
    <row r="5" spans="1:20">
      <c r="A5" s="57" t="str">
        <f t="array" ref="A5">$B5&amp;"-"&amp;SUM(IF( ( $B$3:$B$35=$B5)*($F5&gt;=$F$3:$F$35 ), 1))</f>
        <v>453555-2</v>
      </c>
      <c r="B5" s="57">
        <v>453555</v>
      </c>
      <c r="C5" s="57" t="s">
        <v>601</v>
      </c>
      <c r="D5" s="69">
        <v>69</v>
      </c>
      <c r="E5" s="57" t="s">
        <v>422</v>
      </c>
      <c r="F5" s="63">
        <v>45300</v>
      </c>
      <c r="G5" s="57" t="s">
        <v>602</v>
      </c>
      <c r="H5" s="57" t="str">
        <f t="shared" ref="H5:H35" si="1">INDEX($P$7:$T$9, MATCH(MID($G5,7,1),$O$7:$O$9,0), MATCH(MID($G5,8,2),$P$6:$T$6,0))</f>
        <v>내복경질캡슐제</v>
      </c>
      <c r="I5" s="64">
        <v>7</v>
      </c>
      <c r="J5" s="64">
        <v>7</v>
      </c>
      <c r="K5" s="64">
        <v>4</v>
      </c>
      <c r="L5" s="65">
        <v>170</v>
      </c>
      <c r="M5" s="66">
        <f t="shared" si="0"/>
        <v>39984</v>
      </c>
      <c r="N5" s="67"/>
      <c r="O5" t="s">
        <v>603</v>
      </c>
    </row>
    <row r="6" spans="1:20">
      <c r="A6" s="57" t="str">
        <f t="array" ref="A6">$B6&amp;"-"&amp;SUM(IF( ( $B$3:$B$35=$B6)*($F6&gt;=$F$3:$F$35 ), 1))</f>
        <v>239850-1</v>
      </c>
      <c r="B6" s="57">
        <v>239850</v>
      </c>
      <c r="C6" s="57" t="s">
        <v>597</v>
      </c>
      <c r="D6" s="57">
        <v>71</v>
      </c>
      <c r="E6" s="57" t="s">
        <v>555</v>
      </c>
      <c r="F6" s="63">
        <v>45300</v>
      </c>
      <c r="G6" s="57" t="s">
        <v>604</v>
      </c>
      <c r="H6" s="57" t="str">
        <f t="shared" si="1"/>
        <v>외용서방형정제</v>
      </c>
      <c r="I6" s="64">
        <v>2</v>
      </c>
      <c r="J6" s="64">
        <v>6.0000000000000009</v>
      </c>
      <c r="K6" s="64">
        <v>5</v>
      </c>
      <c r="L6" s="65">
        <v>160</v>
      </c>
      <c r="M6" s="66">
        <f t="shared" si="0"/>
        <v>11520.000000000002</v>
      </c>
      <c r="N6" s="67"/>
      <c r="O6" s="30" t="s">
        <v>605</v>
      </c>
      <c r="P6" s="30" t="s">
        <v>606</v>
      </c>
      <c r="Q6" s="30" t="s">
        <v>607</v>
      </c>
      <c r="R6" s="30" t="s">
        <v>608</v>
      </c>
      <c r="S6" s="30" t="s">
        <v>609</v>
      </c>
      <c r="T6" s="30" t="s">
        <v>610</v>
      </c>
    </row>
    <row r="7" spans="1:20">
      <c r="A7" s="57" t="str">
        <f t="array" ref="A7">$B7&amp;"-"&amp;SUM(IF( ( $B$3:$B$35=$B7)*($F7&gt;=$F$3:$F$35 ), 1))</f>
        <v>423576-1</v>
      </c>
      <c r="B7" s="57">
        <v>423576</v>
      </c>
      <c r="C7" s="57" t="s">
        <v>601</v>
      </c>
      <c r="D7" s="57">
        <v>78</v>
      </c>
      <c r="E7" s="57" t="s">
        <v>611</v>
      </c>
      <c r="F7" s="63">
        <v>45301</v>
      </c>
      <c r="G7" s="57" t="s">
        <v>612</v>
      </c>
      <c r="H7" s="57" t="str">
        <f t="shared" si="1"/>
        <v>주세서방형정제</v>
      </c>
      <c r="I7" s="64">
        <v>3</v>
      </c>
      <c r="J7" s="64">
        <v>3</v>
      </c>
      <c r="K7" s="64">
        <v>1</v>
      </c>
      <c r="L7" s="65">
        <v>210</v>
      </c>
      <c r="M7" s="66">
        <f t="shared" si="0"/>
        <v>2268</v>
      </c>
      <c r="N7" s="67"/>
      <c r="O7" s="30" t="s">
        <v>405</v>
      </c>
      <c r="P7" s="30" t="s">
        <v>613</v>
      </c>
      <c r="Q7" s="30" t="s">
        <v>614</v>
      </c>
      <c r="R7" s="30" t="s">
        <v>615</v>
      </c>
      <c r="S7" s="30" t="s">
        <v>616</v>
      </c>
      <c r="T7" s="30" t="s">
        <v>617</v>
      </c>
    </row>
    <row r="8" spans="1:20">
      <c r="A8" s="57" t="str">
        <f t="array" ref="A8">$B8&amp;"-"&amp;SUM(IF( ( $B$3:$B$35=$B8)*($F8&gt;=$F$3:$F$35 ), 1))</f>
        <v>453555-3</v>
      </c>
      <c r="B8" s="57">
        <v>453555</v>
      </c>
      <c r="C8" s="57" t="s">
        <v>597</v>
      </c>
      <c r="D8" s="57">
        <v>82</v>
      </c>
      <c r="E8" s="57" t="s">
        <v>555</v>
      </c>
      <c r="F8" s="63">
        <v>45310</v>
      </c>
      <c r="G8" s="57" t="s">
        <v>618</v>
      </c>
      <c r="H8" s="57" t="str">
        <f t="shared" si="1"/>
        <v>내복점안제</v>
      </c>
      <c r="I8" s="64">
        <v>2</v>
      </c>
      <c r="J8" s="64">
        <v>6.0000000000000009</v>
      </c>
      <c r="K8" s="64">
        <v>3</v>
      </c>
      <c r="L8" s="65">
        <v>190</v>
      </c>
      <c r="M8" s="66">
        <f t="shared" si="0"/>
        <v>8208</v>
      </c>
      <c r="N8" s="67"/>
      <c r="O8" s="30" t="s">
        <v>406</v>
      </c>
      <c r="P8" s="30" t="s">
        <v>619</v>
      </c>
      <c r="Q8" s="30" t="s">
        <v>620</v>
      </c>
      <c r="R8" s="30" t="s">
        <v>621</v>
      </c>
      <c r="S8" s="30" t="s">
        <v>622</v>
      </c>
      <c r="T8" s="30" t="s">
        <v>623</v>
      </c>
    </row>
    <row r="9" spans="1:20">
      <c r="A9" s="57" t="str">
        <f t="array" ref="A9">$B9&amp;"-"&amp;SUM(IF( ( $B$3:$B$35=$B9)*($F9&gt;=$F$3:$F$35 ), 1))</f>
        <v>701855-1</v>
      </c>
      <c r="B9" s="57">
        <v>701855</v>
      </c>
      <c r="C9" s="57" t="s">
        <v>601</v>
      </c>
      <c r="D9" s="57">
        <v>89</v>
      </c>
      <c r="E9" s="57" t="s">
        <v>624</v>
      </c>
      <c r="F9" s="63">
        <v>45325</v>
      </c>
      <c r="G9" s="57" t="s">
        <v>625</v>
      </c>
      <c r="H9" s="57" t="str">
        <f t="shared" si="1"/>
        <v>내복정제</v>
      </c>
      <c r="I9" s="64">
        <v>9</v>
      </c>
      <c r="J9" s="64">
        <v>18</v>
      </c>
      <c r="K9" s="64">
        <v>5</v>
      </c>
      <c r="L9" s="65">
        <v>160</v>
      </c>
      <c r="M9" s="66">
        <f t="shared" si="0"/>
        <v>155519.99999999997</v>
      </c>
      <c r="N9" s="67"/>
      <c r="O9" s="30" t="s">
        <v>407</v>
      </c>
      <c r="P9" s="30" t="s">
        <v>626</v>
      </c>
      <c r="Q9" s="30" t="s">
        <v>627</v>
      </c>
      <c r="R9" s="30" t="s">
        <v>628</v>
      </c>
      <c r="S9" s="30" t="s">
        <v>629</v>
      </c>
      <c r="T9" s="30" t="s">
        <v>630</v>
      </c>
    </row>
    <row r="10" spans="1:20">
      <c r="A10" s="57" t="str">
        <f t="array" ref="A10">$B10&amp;"-"&amp;SUM(IF( ( $B$3:$B$35=$B10)*($F10&gt;=$F$3:$F$35 ), 1))</f>
        <v>239850-2</v>
      </c>
      <c r="B10" s="57">
        <v>239850</v>
      </c>
      <c r="C10" s="57" t="s">
        <v>597</v>
      </c>
      <c r="D10" s="57">
        <v>68</v>
      </c>
      <c r="E10" s="57" t="s">
        <v>598</v>
      </c>
      <c r="F10" s="63">
        <v>45327</v>
      </c>
      <c r="G10" s="57" t="s">
        <v>631</v>
      </c>
      <c r="H10" s="57" t="str">
        <f t="shared" si="1"/>
        <v>내복서방형정제</v>
      </c>
      <c r="I10" s="64">
        <v>7</v>
      </c>
      <c r="J10" s="64">
        <v>7</v>
      </c>
      <c r="K10" s="64">
        <v>2</v>
      </c>
      <c r="L10" s="65">
        <v>140</v>
      </c>
      <c r="M10" s="66">
        <f t="shared" si="0"/>
        <v>16464</v>
      </c>
      <c r="N10" s="67"/>
      <c r="O10" s="34"/>
      <c r="P10" s="34"/>
      <c r="Q10" s="34"/>
      <c r="R10" s="34"/>
      <c r="S10" s="34"/>
      <c r="T10" s="34"/>
    </row>
    <row r="11" spans="1:20">
      <c r="A11" s="57" t="str">
        <f t="array" ref="A11">$B11&amp;"-"&amp;SUM(IF( ( $B$3:$B$35=$B11)*($F11&gt;=$F$3:$F$35 ), 1))</f>
        <v>239850-3</v>
      </c>
      <c r="B11" s="57">
        <v>239850</v>
      </c>
      <c r="C11" s="57" t="s">
        <v>601</v>
      </c>
      <c r="D11" s="57">
        <v>63</v>
      </c>
      <c r="E11" s="57" t="s">
        <v>598</v>
      </c>
      <c r="F11" s="63">
        <v>45345</v>
      </c>
      <c r="G11" s="57" t="s">
        <v>632</v>
      </c>
      <c r="H11" s="57" t="str">
        <f t="shared" si="1"/>
        <v>외용경질캡슐제</v>
      </c>
      <c r="I11" s="64">
        <v>3</v>
      </c>
      <c r="J11" s="64">
        <v>6</v>
      </c>
      <c r="K11" s="64">
        <v>3</v>
      </c>
      <c r="L11" s="65">
        <v>60</v>
      </c>
      <c r="M11" s="66">
        <f t="shared" si="0"/>
        <v>3888</v>
      </c>
      <c r="N11" s="67"/>
      <c r="O11" s="34"/>
      <c r="P11" s="34"/>
      <c r="Q11" s="34"/>
      <c r="R11" s="34"/>
      <c r="S11" s="34"/>
      <c r="T11" s="34"/>
    </row>
    <row r="12" spans="1:20">
      <c r="A12" s="57" t="str">
        <f t="array" ref="A12">$B12&amp;"-"&amp;SUM(IF( ( $B$3:$B$35=$B12)*($F12&gt;=$F$3:$F$35 ), 1))</f>
        <v>487036-1</v>
      </c>
      <c r="B12" s="57">
        <v>487036</v>
      </c>
      <c r="C12" s="57" t="s">
        <v>601</v>
      </c>
      <c r="D12" s="57">
        <v>48</v>
      </c>
      <c r="E12" s="57" t="s">
        <v>422</v>
      </c>
      <c r="F12" s="63">
        <v>45356</v>
      </c>
      <c r="G12" s="57" t="s">
        <v>633</v>
      </c>
      <c r="H12" s="57" t="str">
        <f t="shared" si="1"/>
        <v>주세점안제</v>
      </c>
      <c r="I12" s="64">
        <v>5</v>
      </c>
      <c r="J12" s="64">
        <v>10</v>
      </c>
      <c r="K12" s="64">
        <v>2</v>
      </c>
      <c r="L12" s="65">
        <v>120</v>
      </c>
      <c r="M12" s="66">
        <f t="shared" si="0"/>
        <v>14400</v>
      </c>
      <c r="N12" s="67"/>
      <c r="O12" t="s">
        <v>634</v>
      </c>
      <c r="Q12" s="34"/>
      <c r="R12" s="34"/>
      <c r="S12" s="34"/>
      <c r="T12" s="34"/>
    </row>
    <row r="13" spans="1:20">
      <c r="A13" s="57" t="str">
        <f t="array" ref="A13">$B13&amp;"-"&amp;SUM(IF( ( $B$3:$B$35=$B13)*($F13&gt;=$F$3:$F$35 ), 1))</f>
        <v>855434-1</v>
      </c>
      <c r="B13" s="57">
        <v>855434</v>
      </c>
      <c r="C13" s="57" t="s">
        <v>597</v>
      </c>
      <c r="D13" s="57">
        <v>30</v>
      </c>
      <c r="E13" s="57" t="s">
        <v>598</v>
      </c>
      <c r="F13" s="63">
        <v>45371</v>
      </c>
      <c r="G13" s="57" t="s">
        <v>635</v>
      </c>
      <c r="H13" s="57" t="str">
        <f t="shared" si="1"/>
        <v>내복시럽제</v>
      </c>
      <c r="I13" s="64">
        <v>7</v>
      </c>
      <c r="J13" s="64">
        <v>20.999999999999996</v>
      </c>
      <c r="K13" s="64">
        <v>4</v>
      </c>
      <c r="L13" s="65">
        <v>150</v>
      </c>
      <c r="M13" s="66">
        <f t="shared" si="0"/>
        <v>105839.99999999999</v>
      </c>
      <c r="N13" s="67"/>
      <c r="O13" s="30" t="s">
        <v>636</v>
      </c>
      <c r="P13" s="27" t="s">
        <v>637</v>
      </c>
      <c r="Q13" s="34"/>
      <c r="R13" s="34"/>
      <c r="S13" s="34"/>
      <c r="T13" s="34"/>
    </row>
    <row r="14" spans="1:20">
      <c r="A14" s="57" t="str">
        <f t="array" ref="A14">$B14&amp;"-"&amp;SUM(IF( ( $B$3:$B$35=$B14)*($F14&gt;=$F$3:$F$35 ), 1))</f>
        <v>239850-4</v>
      </c>
      <c r="B14" s="57">
        <v>239850</v>
      </c>
      <c r="C14" s="57" t="s">
        <v>597</v>
      </c>
      <c r="D14" s="57">
        <v>68</v>
      </c>
      <c r="E14" s="57" t="s">
        <v>624</v>
      </c>
      <c r="F14" s="63">
        <v>45378</v>
      </c>
      <c r="G14" s="57" t="s">
        <v>638</v>
      </c>
      <c r="H14" s="57" t="str">
        <f t="shared" si="1"/>
        <v>주세경질캡슐제</v>
      </c>
      <c r="I14" s="64">
        <v>9</v>
      </c>
      <c r="J14" s="64">
        <v>9</v>
      </c>
      <c r="K14" s="64">
        <v>5</v>
      </c>
      <c r="L14" s="65">
        <v>120</v>
      </c>
      <c r="M14" s="66">
        <f t="shared" si="0"/>
        <v>58319.999999999993</v>
      </c>
      <c r="N14" s="67"/>
      <c r="O14" s="30">
        <v>30</v>
      </c>
      <c r="P14" s="28"/>
      <c r="Q14" s="34"/>
      <c r="R14" s="34"/>
      <c r="S14" s="34"/>
      <c r="T14" s="34"/>
    </row>
    <row r="15" spans="1:20">
      <c r="A15" s="57" t="str">
        <f t="array" ref="A15">$B15&amp;"-"&amp;SUM(IF( ( $B$3:$B$35=$B15)*($F15&gt;=$F$3:$F$35 ), 1))</f>
        <v>145694-1</v>
      </c>
      <c r="B15" s="57">
        <v>145694</v>
      </c>
      <c r="C15" s="57" t="s">
        <v>601</v>
      </c>
      <c r="D15" s="57">
        <v>97</v>
      </c>
      <c r="E15" s="57" t="s">
        <v>611</v>
      </c>
      <c r="F15" s="63">
        <v>45390</v>
      </c>
      <c r="G15" s="57" t="s">
        <v>639</v>
      </c>
      <c r="H15" s="57" t="str">
        <f t="shared" si="1"/>
        <v>내복점안제</v>
      </c>
      <c r="I15" s="64">
        <v>2</v>
      </c>
      <c r="J15" s="64">
        <v>6.0000000000000009</v>
      </c>
      <c r="K15" s="64">
        <v>1</v>
      </c>
      <c r="L15" s="65">
        <v>130</v>
      </c>
      <c r="M15" s="66">
        <f t="shared" si="0"/>
        <v>1872.0000000000002</v>
      </c>
      <c r="N15" s="67"/>
      <c r="O15" s="30">
        <v>40</v>
      </c>
      <c r="P15" s="28"/>
      <c r="Q15" s="34"/>
      <c r="R15" s="34"/>
      <c r="S15" s="34"/>
      <c r="T15" s="34"/>
    </row>
    <row r="16" spans="1:20">
      <c r="A16" s="57" t="str">
        <f t="array" ref="A16">$B16&amp;"-"&amp;SUM(IF( ( $B$3:$B$35=$B16)*($F16&gt;=$F$3:$F$35 ), 1))</f>
        <v>453555-4</v>
      </c>
      <c r="B16" s="57">
        <v>453555</v>
      </c>
      <c r="C16" s="57" t="s">
        <v>601</v>
      </c>
      <c r="D16" s="57">
        <v>58</v>
      </c>
      <c r="E16" s="57" t="s">
        <v>422</v>
      </c>
      <c r="F16" s="63">
        <v>45406</v>
      </c>
      <c r="G16" s="57" t="s">
        <v>640</v>
      </c>
      <c r="H16" s="57" t="str">
        <f t="shared" si="1"/>
        <v>주세경질캡슐제</v>
      </c>
      <c r="I16" s="64">
        <v>2</v>
      </c>
      <c r="J16" s="64">
        <v>2</v>
      </c>
      <c r="K16" s="64">
        <v>3</v>
      </c>
      <c r="L16" s="65">
        <v>80</v>
      </c>
      <c r="M16" s="66">
        <f t="shared" si="0"/>
        <v>1152</v>
      </c>
      <c r="N16" s="67"/>
      <c r="O16" s="30">
        <v>50</v>
      </c>
      <c r="P16" s="28"/>
      <c r="Q16" s="34"/>
      <c r="R16" s="34"/>
      <c r="S16" s="34"/>
      <c r="T16" s="34"/>
    </row>
    <row r="17" spans="1:20">
      <c r="A17" s="57" t="str">
        <f t="array" ref="A17">$B17&amp;"-"&amp;SUM(IF( ( $B$3:$B$35=$B17)*($F17&gt;=$F$3:$F$35 ), 1))</f>
        <v>284064-1</v>
      </c>
      <c r="B17" s="57">
        <v>284064</v>
      </c>
      <c r="C17" s="57" t="s">
        <v>601</v>
      </c>
      <c r="D17" s="57">
        <v>57</v>
      </c>
      <c r="E17" s="57" t="s">
        <v>422</v>
      </c>
      <c r="F17" s="63">
        <v>45414</v>
      </c>
      <c r="G17" s="57" t="s">
        <v>641</v>
      </c>
      <c r="H17" s="57" t="str">
        <f t="shared" si="1"/>
        <v>주세정제</v>
      </c>
      <c r="I17" s="64">
        <v>3</v>
      </c>
      <c r="J17" s="64">
        <v>6</v>
      </c>
      <c r="K17" s="64">
        <v>2</v>
      </c>
      <c r="L17" s="65">
        <v>80</v>
      </c>
      <c r="M17" s="66">
        <f t="shared" si="0"/>
        <v>3455.9999999999995</v>
      </c>
      <c r="N17" s="67"/>
      <c r="O17" s="30">
        <v>60</v>
      </c>
      <c r="P17" s="28"/>
      <c r="Q17" s="34"/>
      <c r="R17" s="34"/>
      <c r="S17" s="34"/>
      <c r="T17" s="34"/>
    </row>
    <row r="18" spans="1:20">
      <c r="A18" s="57" t="str">
        <f t="array" ref="A18">$B18&amp;"-"&amp;SUM(IF( ( $B$3:$B$35=$B18)*($F18&gt;=$F$3:$F$35 ), 1))</f>
        <v>701855-2</v>
      </c>
      <c r="B18" s="57">
        <v>701855</v>
      </c>
      <c r="C18" s="57" t="s">
        <v>601</v>
      </c>
      <c r="D18" s="57">
        <v>90</v>
      </c>
      <c r="E18" s="57" t="s">
        <v>611</v>
      </c>
      <c r="F18" s="63">
        <v>45418</v>
      </c>
      <c r="G18" s="57" t="s">
        <v>642</v>
      </c>
      <c r="H18" s="57" t="str">
        <f t="shared" si="1"/>
        <v>내복시럽제</v>
      </c>
      <c r="I18" s="64">
        <v>2</v>
      </c>
      <c r="J18" s="64">
        <v>2</v>
      </c>
      <c r="K18" s="64">
        <v>3</v>
      </c>
      <c r="L18" s="65">
        <v>150</v>
      </c>
      <c r="M18" s="66">
        <f t="shared" si="0"/>
        <v>2160</v>
      </c>
      <c r="N18" s="67"/>
      <c r="O18" s="30">
        <v>70</v>
      </c>
      <c r="P18" s="28"/>
      <c r="Q18" s="34"/>
      <c r="R18" s="34"/>
      <c r="S18" s="34"/>
      <c r="T18" s="34"/>
    </row>
    <row r="19" spans="1:20">
      <c r="A19" s="57" t="str">
        <f t="array" ref="A19">$B19&amp;"-"&amp;SUM(IF( ( $B$3:$B$35=$B19)*($F19&gt;=$F$3:$F$35 ), 1))</f>
        <v>937768-1</v>
      </c>
      <c r="B19" s="57">
        <v>937768</v>
      </c>
      <c r="C19" s="57" t="s">
        <v>601</v>
      </c>
      <c r="D19" s="57">
        <v>50</v>
      </c>
      <c r="E19" s="57" t="s">
        <v>611</v>
      </c>
      <c r="F19" s="63">
        <v>45423</v>
      </c>
      <c r="G19" s="57" t="s">
        <v>643</v>
      </c>
      <c r="H19" s="57" t="str">
        <f t="shared" si="1"/>
        <v>외용서방형정제</v>
      </c>
      <c r="I19" s="64">
        <v>8</v>
      </c>
      <c r="J19" s="64">
        <v>8</v>
      </c>
      <c r="K19" s="64">
        <v>2</v>
      </c>
      <c r="L19" s="65">
        <v>80</v>
      </c>
      <c r="M19" s="66">
        <f t="shared" si="0"/>
        <v>12288</v>
      </c>
      <c r="N19" s="67"/>
      <c r="O19" s="30">
        <v>80</v>
      </c>
      <c r="P19" s="28"/>
      <c r="Q19" s="34"/>
      <c r="R19" s="34"/>
      <c r="S19" s="34"/>
      <c r="T19" s="34"/>
    </row>
    <row r="20" spans="1:20">
      <c r="A20" s="57" t="str">
        <f t="array" ref="A20">$B20&amp;"-"&amp;SUM(IF( ( $B$3:$B$35=$B20)*($F20&gt;=$F$3:$F$35 ), 1))</f>
        <v>745444-1</v>
      </c>
      <c r="B20" s="57">
        <v>745444</v>
      </c>
      <c r="C20" s="57" t="s">
        <v>597</v>
      </c>
      <c r="D20" s="57">
        <v>80</v>
      </c>
      <c r="E20" s="57" t="s">
        <v>422</v>
      </c>
      <c r="F20" s="63">
        <v>45423</v>
      </c>
      <c r="G20" s="57" t="s">
        <v>644</v>
      </c>
      <c r="H20" s="57" t="str">
        <f t="shared" si="1"/>
        <v>주세시럽제</v>
      </c>
      <c r="I20" s="64">
        <v>3</v>
      </c>
      <c r="J20" s="64">
        <v>3</v>
      </c>
      <c r="K20" s="64">
        <v>3</v>
      </c>
      <c r="L20" s="65">
        <v>100</v>
      </c>
      <c r="M20" s="66">
        <f t="shared" si="0"/>
        <v>3240</v>
      </c>
      <c r="N20" s="67"/>
      <c r="O20" s="30">
        <v>90</v>
      </c>
      <c r="P20" s="28"/>
      <c r="Q20" s="34"/>
      <c r="R20" s="34"/>
      <c r="S20" s="34"/>
      <c r="T20" s="34"/>
    </row>
    <row r="21" spans="1:20">
      <c r="A21" s="57" t="str">
        <f t="array" ref="A21">$B21&amp;"-"&amp;SUM(IF( ( $B$3:$B$35=$B21)*($F21&gt;=$F$3:$F$35 ), 1))</f>
        <v>145694-2</v>
      </c>
      <c r="B21" s="57">
        <v>145694</v>
      </c>
      <c r="C21" s="57" t="s">
        <v>601</v>
      </c>
      <c r="D21" s="57">
        <v>53</v>
      </c>
      <c r="E21" s="57" t="s">
        <v>422</v>
      </c>
      <c r="F21" s="63">
        <v>45430</v>
      </c>
      <c r="G21" s="57" t="s">
        <v>645</v>
      </c>
      <c r="H21" s="57" t="str">
        <f t="shared" si="1"/>
        <v>내복정제</v>
      </c>
      <c r="I21" s="64">
        <v>3</v>
      </c>
      <c r="J21" s="64">
        <v>3</v>
      </c>
      <c r="K21" s="64">
        <v>5</v>
      </c>
      <c r="L21" s="65">
        <v>140</v>
      </c>
      <c r="M21" s="66">
        <f t="shared" si="0"/>
        <v>7559.9999999999991</v>
      </c>
      <c r="N21" s="67"/>
    </row>
    <row r="22" spans="1:20">
      <c r="A22" s="57" t="str">
        <f t="array" ref="A22">$B22&amp;"-"&amp;SUM(IF( ( $B$3:$B$35=$B22)*($F22&gt;=$F$3:$F$35 ), 1))</f>
        <v>453555-5</v>
      </c>
      <c r="B22" s="57">
        <v>453555</v>
      </c>
      <c r="C22" s="57" t="s">
        <v>601</v>
      </c>
      <c r="D22" s="57">
        <v>97</v>
      </c>
      <c r="E22" s="57" t="s">
        <v>555</v>
      </c>
      <c r="F22" s="63">
        <v>45434</v>
      </c>
      <c r="G22" s="57" t="s">
        <v>646</v>
      </c>
      <c r="H22" s="57" t="str">
        <f t="shared" si="1"/>
        <v>주세점안제</v>
      </c>
      <c r="I22" s="64">
        <v>9</v>
      </c>
      <c r="J22" s="64">
        <v>18</v>
      </c>
      <c r="K22" s="64">
        <v>5</v>
      </c>
      <c r="L22" s="65">
        <v>160</v>
      </c>
      <c r="M22" s="66">
        <f t="shared" si="0"/>
        <v>155519.99999999997</v>
      </c>
      <c r="N22" s="67"/>
    </row>
    <row r="23" spans="1:20">
      <c r="A23" s="57" t="str">
        <f t="array" ref="A23">$B23&amp;"-"&amp;SUM(IF( ( $B$3:$B$35=$B23)*($F23&gt;=$F$3:$F$35 ), 1))</f>
        <v>145694-3</v>
      </c>
      <c r="B23" s="57">
        <v>145694</v>
      </c>
      <c r="C23" s="57" t="s">
        <v>597</v>
      </c>
      <c r="D23" s="57">
        <v>90</v>
      </c>
      <c r="E23" s="57" t="s">
        <v>598</v>
      </c>
      <c r="F23" s="63">
        <v>45445</v>
      </c>
      <c r="G23" s="57" t="s">
        <v>647</v>
      </c>
      <c r="H23" s="57" t="str">
        <f t="shared" si="1"/>
        <v>외용서방형정제</v>
      </c>
      <c r="I23" s="64">
        <v>4</v>
      </c>
      <c r="J23" s="64">
        <v>12.000000000000002</v>
      </c>
      <c r="K23" s="64">
        <v>4</v>
      </c>
      <c r="L23" s="65">
        <v>120</v>
      </c>
      <c r="M23" s="66">
        <f t="shared" si="0"/>
        <v>27648.000000000004</v>
      </c>
      <c r="N23" s="67"/>
    </row>
    <row r="24" spans="1:20">
      <c r="A24" s="57" t="str">
        <f t="array" ref="A24">$B24&amp;"-"&amp;SUM(IF( ( $B$3:$B$35=$B24)*($F24&gt;=$F$3:$F$35 ), 1))</f>
        <v>239850-5</v>
      </c>
      <c r="B24" s="57">
        <v>239850</v>
      </c>
      <c r="C24" s="57" t="s">
        <v>601</v>
      </c>
      <c r="D24" s="57">
        <v>82</v>
      </c>
      <c r="E24" s="57" t="s">
        <v>555</v>
      </c>
      <c r="F24" s="63">
        <v>45470</v>
      </c>
      <c r="G24" s="57" t="s">
        <v>648</v>
      </c>
      <c r="H24" s="57" t="str">
        <f t="shared" si="1"/>
        <v>주세서방형정제</v>
      </c>
      <c r="I24" s="64">
        <v>7</v>
      </c>
      <c r="J24" s="64">
        <v>20.999999999999996</v>
      </c>
      <c r="K24" s="64">
        <v>2</v>
      </c>
      <c r="L24" s="65">
        <v>160</v>
      </c>
      <c r="M24" s="66">
        <f t="shared" si="0"/>
        <v>56447.999999999993</v>
      </c>
      <c r="N24" s="67"/>
    </row>
    <row r="25" spans="1:20">
      <c r="A25" s="57" t="str">
        <f t="array" ref="A25">$B25&amp;"-"&amp;SUM(IF( ( $B$3:$B$35=$B25)*($F25&gt;=$F$3:$F$35 ), 1))</f>
        <v>855434-2</v>
      </c>
      <c r="B25" s="57">
        <v>855434</v>
      </c>
      <c r="C25" s="57" t="s">
        <v>601</v>
      </c>
      <c r="D25" s="57">
        <v>81</v>
      </c>
      <c r="E25" s="57" t="s">
        <v>422</v>
      </c>
      <c r="F25" s="63">
        <v>45481</v>
      </c>
      <c r="G25" s="57" t="s">
        <v>649</v>
      </c>
      <c r="H25" s="57" t="str">
        <f t="shared" si="1"/>
        <v>내복경질캡슐제</v>
      </c>
      <c r="I25" s="64">
        <v>8</v>
      </c>
      <c r="J25" s="64">
        <v>16</v>
      </c>
      <c r="K25" s="64">
        <v>1</v>
      </c>
      <c r="L25" s="65">
        <v>170</v>
      </c>
      <c r="M25" s="66">
        <f t="shared" si="0"/>
        <v>26112</v>
      </c>
      <c r="N25" s="67"/>
    </row>
    <row r="26" spans="1:20">
      <c r="A26" s="57" t="str">
        <f t="array" ref="A26">$B26&amp;"-"&amp;SUM(IF( ( $B$3:$B$35=$B26)*($F26&gt;=$F$3:$F$35 ), 1))</f>
        <v>453555-6</v>
      </c>
      <c r="B26" s="57">
        <v>453555</v>
      </c>
      <c r="C26" s="57" t="s">
        <v>601</v>
      </c>
      <c r="D26" s="57">
        <v>38</v>
      </c>
      <c r="E26" s="57" t="s">
        <v>598</v>
      </c>
      <c r="F26" s="63">
        <v>45512</v>
      </c>
      <c r="G26" s="57" t="s">
        <v>650</v>
      </c>
      <c r="H26" s="57" t="str">
        <f t="shared" si="1"/>
        <v>외용점안제</v>
      </c>
      <c r="I26" s="64">
        <v>5</v>
      </c>
      <c r="J26" s="64">
        <v>15</v>
      </c>
      <c r="K26" s="64">
        <v>1</v>
      </c>
      <c r="L26" s="65">
        <v>140</v>
      </c>
      <c r="M26" s="66">
        <f t="shared" si="0"/>
        <v>12600</v>
      </c>
      <c r="N26" s="67"/>
    </row>
    <row r="27" spans="1:20">
      <c r="A27" s="57" t="str">
        <f t="array" ref="A27">$B27&amp;"-"&amp;SUM(IF( ( $B$3:$B$35=$B27)*($F27&gt;=$F$3:$F$35 ), 1))</f>
        <v>487036-2</v>
      </c>
      <c r="B27" s="57">
        <v>487036</v>
      </c>
      <c r="C27" s="57" t="s">
        <v>601</v>
      </c>
      <c r="D27" s="57">
        <v>77</v>
      </c>
      <c r="E27" s="57" t="s">
        <v>422</v>
      </c>
      <c r="F27" s="63">
        <v>45529</v>
      </c>
      <c r="G27" s="57" t="s">
        <v>651</v>
      </c>
      <c r="H27" s="57" t="str">
        <f t="shared" si="1"/>
        <v>외용서방형정제</v>
      </c>
      <c r="I27" s="64">
        <v>2</v>
      </c>
      <c r="J27" s="64">
        <v>2</v>
      </c>
      <c r="K27" s="64">
        <v>4</v>
      </c>
      <c r="L27" s="65">
        <v>130</v>
      </c>
      <c r="M27" s="66">
        <f t="shared" si="0"/>
        <v>2496</v>
      </c>
      <c r="N27" s="67"/>
    </row>
    <row r="28" spans="1:20">
      <c r="A28" s="57" t="str">
        <f t="array" ref="A28">$B28&amp;"-"&amp;SUM(IF( ( $B$3:$B$35=$B28)*($F28&gt;=$F$3:$F$35 ), 1))</f>
        <v>239850-6</v>
      </c>
      <c r="B28" s="57">
        <v>239850</v>
      </c>
      <c r="C28" s="57" t="s">
        <v>597</v>
      </c>
      <c r="D28" s="57">
        <v>49</v>
      </c>
      <c r="E28" s="57" t="s">
        <v>652</v>
      </c>
      <c r="F28" s="63">
        <v>45553</v>
      </c>
      <c r="G28" s="57" t="s">
        <v>653</v>
      </c>
      <c r="H28" s="57" t="str">
        <f t="shared" si="1"/>
        <v>내복점안제</v>
      </c>
      <c r="I28" s="64">
        <v>3</v>
      </c>
      <c r="J28" s="64">
        <v>3</v>
      </c>
      <c r="K28" s="64">
        <v>1</v>
      </c>
      <c r="L28" s="65">
        <v>130</v>
      </c>
      <c r="M28" s="66">
        <f t="shared" si="0"/>
        <v>1403.9999999999998</v>
      </c>
      <c r="N28" s="67"/>
      <c r="O28" s="34"/>
      <c r="P28" s="34"/>
      <c r="Q28" s="34"/>
      <c r="R28" s="34"/>
      <c r="S28" s="34"/>
      <c r="T28" s="34"/>
    </row>
    <row r="29" spans="1:20">
      <c r="A29" s="57" t="str">
        <f t="array" ref="A29">$B29&amp;"-"&amp;SUM(IF( ( $B$3:$B$35=$B29)*($F29&gt;=$F$3:$F$35 ), 1))</f>
        <v>453555-7</v>
      </c>
      <c r="B29" s="57">
        <v>453555</v>
      </c>
      <c r="C29" s="57" t="s">
        <v>601</v>
      </c>
      <c r="D29" s="57">
        <v>62</v>
      </c>
      <c r="E29" s="57" t="s">
        <v>624</v>
      </c>
      <c r="F29" s="63">
        <v>45555</v>
      </c>
      <c r="G29" s="57" t="s">
        <v>654</v>
      </c>
      <c r="H29" s="57" t="str">
        <f t="shared" si="1"/>
        <v>외용점안제</v>
      </c>
      <c r="I29" s="64">
        <v>8</v>
      </c>
      <c r="J29" s="64">
        <v>16</v>
      </c>
      <c r="K29" s="64">
        <v>2</v>
      </c>
      <c r="L29" s="65">
        <v>140</v>
      </c>
      <c r="M29" s="66">
        <f t="shared" si="0"/>
        <v>43008</v>
      </c>
      <c r="N29" s="67"/>
      <c r="O29" s="34"/>
      <c r="P29" s="34"/>
      <c r="Q29" s="34"/>
      <c r="R29" s="34"/>
      <c r="S29" s="34"/>
      <c r="T29" s="34"/>
    </row>
    <row r="30" spans="1:20">
      <c r="A30" s="57" t="str">
        <f t="array" ref="A30">$B30&amp;"-"&amp;SUM(IF( ( $B$3:$B$35=$B30)*($F30&gt;=$F$3:$F$35 ), 1))</f>
        <v>487036-3</v>
      </c>
      <c r="B30" s="57">
        <v>487036</v>
      </c>
      <c r="C30" s="57" t="s">
        <v>601</v>
      </c>
      <c r="D30" s="57">
        <v>77</v>
      </c>
      <c r="E30" s="57" t="s">
        <v>555</v>
      </c>
      <c r="F30" s="63">
        <v>45569</v>
      </c>
      <c r="G30" s="57" t="s">
        <v>655</v>
      </c>
      <c r="H30" s="57" t="str">
        <f t="shared" si="1"/>
        <v>주세경질캡슐제</v>
      </c>
      <c r="I30" s="64">
        <v>3</v>
      </c>
      <c r="J30" s="64">
        <v>6</v>
      </c>
      <c r="K30" s="64">
        <v>4</v>
      </c>
      <c r="L30" s="65">
        <v>110</v>
      </c>
      <c r="M30" s="66">
        <f t="shared" si="0"/>
        <v>9503.9999999999982</v>
      </c>
      <c r="N30" s="67"/>
      <c r="O30" s="34"/>
      <c r="P30" s="34"/>
      <c r="Q30" s="34"/>
      <c r="R30" s="34"/>
      <c r="S30" s="34"/>
      <c r="T30" s="34"/>
    </row>
    <row r="31" spans="1:20">
      <c r="A31" s="57" t="str">
        <f t="array" ref="A31">$B31&amp;"-"&amp;SUM(IF( ( $B$3:$B$35=$B31)*($F31&gt;=$F$3:$F$35 ), 1))</f>
        <v>145694-4</v>
      </c>
      <c r="B31" s="57">
        <v>145694</v>
      </c>
      <c r="C31" s="57" t="s">
        <v>601</v>
      </c>
      <c r="D31" s="57">
        <v>50</v>
      </c>
      <c r="E31" s="57" t="s">
        <v>555</v>
      </c>
      <c r="F31" s="63">
        <v>45577</v>
      </c>
      <c r="G31" s="57" t="s">
        <v>656</v>
      </c>
      <c r="H31" s="57" t="str">
        <f t="shared" si="1"/>
        <v>외용점안제</v>
      </c>
      <c r="I31" s="64">
        <v>2</v>
      </c>
      <c r="J31" s="64">
        <v>4</v>
      </c>
      <c r="K31" s="64">
        <v>2</v>
      </c>
      <c r="L31" s="65">
        <v>150</v>
      </c>
      <c r="M31" s="66">
        <f t="shared" si="0"/>
        <v>2880</v>
      </c>
      <c r="N31" s="67"/>
      <c r="O31" s="34"/>
      <c r="P31" s="34"/>
      <c r="Q31" s="34"/>
      <c r="R31" s="34"/>
      <c r="S31" s="34"/>
      <c r="T31" s="34"/>
    </row>
    <row r="32" spans="1:20">
      <c r="A32" s="57" t="str">
        <f t="array" ref="A32">$B32&amp;"-"&amp;SUM(IF( ( $B$3:$B$35=$B32)*($F32&gt;=$F$3:$F$35 ), 1))</f>
        <v>487036-4</v>
      </c>
      <c r="B32" s="57">
        <v>487036</v>
      </c>
      <c r="C32" s="57" t="s">
        <v>597</v>
      </c>
      <c r="D32" s="57">
        <v>37</v>
      </c>
      <c r="E32" s="57" t="s">
        <v>598</v>
      </c>
      <c r="F32" s="63">
        <v>45590</v>
      </c>
      <c r="G32" s="57" t="s">
        <v>657</v>
      </c>
      <c r="H32" s="57" t="str">
        <f t="shared" si="1"/>
        <v>주세점안제</v>
      </c>
      <c r="I32" s="64">
        <v>2</v>
      </c>
      <c r="J32" s="64">
        <v>4</v>
      </c>
      <c r="K32" s="64">
        <v>3</v>
      </c>
      <c r="L32" s="65">
        <v>160</v>
      </c>
      <c r="M32" s="66">
        <f t="shared" si="0"/>
        <v>4608</v>
      </c>
      <c r="N32" s="67"/>
      <c r="O32" s="34"/>
      <c r="P32" s="34"/>
      <c r="Q32" s="34"/>
      <c r="R32" s="34"/>
      <c r="S32" s="34"/>
      <c r="T32" s="34"/>
    </row>
    <row r="33" spans="1:20">
      <c r="A33" s="57" t="str">
        <f t="array" ref="A33">$B33&amp;"-"&amp;SUM(IF( ( $B$3:$B$35=$B33)*($F33&gt;=$F$3:$F$35 ), 1))</f>
        <v>855434-3</v>
      </c>
      <c r="B33" s="57">
        <v>855434</v>
      </c>
      <c r="C33" s="57" t="s">
        <v>597</v>
      </c>
      <c r="D33" s="57">
        <v>61</v>
      </c>
      <c r="E33" s="57" t="s">
        <v>555</v>
      </c>
      <c r="F33" s="63">
        <v>45591</v>
      </c>
      <c r="G33" s="57" t="s">
        <v>658</v>
      </c>
      <c r="H33" s="57" t="str">
        <f t="shared" si="1"/>
        <v>주세시럽제</v>
      </c>
      <c r="I33" s="64">
        <v>7</v>
      </c>
      <c r="J33" s="64">
        <v>14</v>
      </c>
      <c r="K33" s="64">
        <v>5</v>
      </c>
      <c r="L33" s="65">
        <v>150</v>
      </c>
      <c r="M33" s="66">
        <f t="shared" si="0"/>
        <v>88200</v>
      </c>
      <c r="N33" s="67"/>
      <c r="O33" s="34"/>
      <c r="P33" s="34"/>
      <c r="Q33" s="34"/>
      <c r="R33" s="34"/>
      <c r="S33" s="34"/>
      <c r="T33" s="34"/>
    </row>
    <row r="34" spans="1:20">
      <c r="A34" s="57" t="str">
        <f t="array" ref="A34">$B34&amp;"-"&amp;SUM(IF( ( $B$3:$B$35=$B34)*($F34&gt;=$F$3:$F$35 ), 1))</f>
        <v>701855-3</v>
      </c>
      <c r="B34" s="57">
        <v>701855</v>
      </c>
      <c r="C34" s="57" t="s">
        <v>601</v>
      </c>
      <c r="D34" s="57">
        <v>72</v>
      </c>
      <c r="E34" s="57" t="s">
        <v>555</v>
      </c>
      <c r="F34" s="63">
        <v>45616</v>
      </c>
      <c r="G34" s="57" t="s">
        <v>659</v>
      </c>
      <c r="H34" s="57" t="str">
        <f t="shared" si="1"/>
        <v>내복시럽제</v>
      </c>
      <c r="I34" s="64">
        <v>3</v>
      </c>
      <c r="J34" s="64">
        <v>9</v>
      </c>
      <c r="K34" s="64">
        <v>2</v>
      </c>
      <c r="L34" s="65">
        <v>100</v>
      </c>
      <c r="M34" s="66">
        <f t="shared" si="0"/>
        <v>6480</v>
      </c>
      <c r="N34" s="67"/>
      <c r="O34" s="34"/>
      <c r="P34" s="34"/>
      <c r="Q34" s="34"/>
      <c r="R34" s="34"/>
      <c r="S34" s="34"/>
      <c r="T34" s="34"/>
    </row>
    <row r="35" spans="1:20">
      <c r="A35" s="57" t="str">
        <f t="array" ref="A35">$B35&amp;"-"&amp;SUM(IF( ( $B$3:$B$35=$B35)*($F35&gt;=$F$3:$F$35 ), 1))</f>
        <v>239850-7</v>
      </c>
      <c r="B35" s="57">
        <v>239850</v>
      </c>
      <c r="C35" s="57" t="s">
        <v>601</v>
      </c>
      <c r="D35" s="57">
        <v>87</v>
      </c>
      <c r="E35" s="57" t="s">
        <v>422</v>
      </c>
      <c r="F35" s="63">
        <v>45631</v>
      </c>
      <c r="G35" s="57" t="s">
        <v>660</v>
      </c>
      <c r="H35" s="57" t="str">
        <f t="shared" si="1"/>
        <v>내복점안제</v>
      </c>
      <c r="I35" s="64">
        <v>8</v>
      </c>
      <c r="J35" s="64">
        <v>24.000000000000004</v>
      </c>
      <c r="K35" s="64">
        <v>3</v>
      </c>
      <c r="L35" s="65">
        <v>100</v>
      </c>
      <c r="M35" s="66">
        <f t="shared" si="0"/>
        <v>69120</v>
      </c>
      <c r="N35" s="67"/>
      <c r="O35" s="34"/>
      <c r="P35" s="34"/>
      <c r="Q35" s="34"/>
      <c r="R35" s="34"/>
      <c r="S35" s="34"/>
      <c r="T35" s="34"/>
    </row>
    <row r="36" spans="1:20">
      <c r="A36" s="34"/>
      <c r="B36" s="34"/>
      <c r="C36" s="34"/>
      <c r="D36" s="70"/>
      <c r="E36" s="71"/>
      <c r="F36" s="34"/>
      <c r="G36" s="34"/>
      <c r="H36" s="34"/>
      <c r="I36" s="72"/>
      <c r="K36" s="34"/>
      <c r="L36" s="34"/>
      <c r="M36" s="34"/>
      <c r="N36" s="34"/>
      <c r="O36" s="34"/>
      <c r="P36" s="34"/>
    </row>
  </sheetData>
  <mergeCells count="2">
    <mergeCell ref="O2:O3"/>
    <mergeCell ref="P2:P3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329B1-C98E-41A2-AF03-8428E88627DF}">
  <sheetPr codeName="Sheet17"/>
  <dimension ref="A1:Q30"/>
  <sheetViews>
    <sheetView topLeftCell="A3" workbookViewId="0">
      <selection activeCell="J16" sqref="J16"/>
    </sheetView>
  </sheetViews>
  <sheetFormatPr defaultRowHeight="16.5"/>
  <cols>
    <col min="1" max="1" width="6.75" customWidth="1"/>
    <col min="2" max="2" width="9.375" bestFit="1" customWidth="1"/>
    <col min="3" max="3" width="6.875" customWidth="1"/>
    <col min="4" max="4" width="8.75" customWidth="1"/>
    <col min="5" max="5" width="8.87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8.5" customWidth="1"/>
    <col min="11" max="11" width="2.25" customWidth="1"/>
    <col min="12" max="12" width="11.875" customWidth="1"/>
    <col min="13" max="13" width="12.875" customWidth="1"/>
    <col min="14" max="14" width="21.875" customWidth="1"/>
    <col min="15" max="17" width="6.5" customWidth="1"/>
  </cols>
  <sheetData>
    <row r="1" spans="1:17">
      <c r="A1" t="s">
        <v>393</v>
      </c>
      <c r="L1" s="11" t="s">
        <v>394</v>
      </c>
      <c r="M1" s="11" t="s">
        <v>661</v>
      </c>
    </row>
    <row r="2" spans="1:17">
      <c r="A2" s="28" t="s">
        <v>395</v>
      </c>
      <c r="B2" s="28" t="s">
        <v>662</v>
      </c>
      <c r="C2" s="28" t="s">
        <v>663</v>
      </c>
      <c r="D2" s="28" t="s">
        <v>664</v>
      </c>
      <c r="E2" s="28" t="s">
        <v>665</v>
      </c>
      <c r="F2" s="73" t="s">
        <v>661</v>
      </c>
      <c r="G2" s="28" t="s">
        <v>509</v>
      </c>
      <c r="H2" s="28" t="s">
        <v>666</v>
      </c>
      <c r="I2" s="28" t="s">
        <v>667</v>
      </c>
      <c r="J2" s="73" t="s">
        <v>668</v>
      </c>
      <c r="L2" s="74"/>
      <c r="M2" s="75">
        <v>0</v>
      </c>
      <c r="N2" s="75">
        <v>0.375</v>
      </c>
      <c r="O2" s="75">
        <v>0.54166666666666663</v>
      </c>
      <c r="P2" s="75">
        <v>0.625</v>
      </c>
      <c r="Q2" s="75">
        <v>0.75</v>
      </c>
    </row>
    <row r="3" spans="1:17">
      <c r="A3" s="30" t="s">
        <v>669</v>
      </c>
      <c r="B3" s="30" t="s">
        <v>670</v>
      </c>
      <c r="C3" s="30" t="s">
        <v>671</v>
      </c>
      <c r="D3" s="76">
        <v>0.40208333333333335</v>
      </c>
      <c r="E3" s="76">
        <v>0.56041666666666856</v>
      </c>
      <c r="F3" s="9">
        <f>VLOOKUP($A3,$L$4:$Q$6,MATCH($D3,$M$2:$Q$2,1)+1)</f>
        <v>3000</v>
      </c>
      <c r="G3" s="9">
        <v>13580</v>
      </c>
      <c r="H3" s="9">
        <v>10580</v>
      </c>
      <c r="I3" s="6" t="s">
        <v>672</v>
      </c>
      <c r="J3" s="30" t="str">
        <f>fn기타($A3,$G3)</f>
        <v xml:space="preserve"> </v>
      </c>
      <c r="L3" s="74" t="s">
        <v>395</v>
      </c>
      <c r="M3" s="75">
        <v>0.3743055555555555</v>
      </c>
      <c r="N3" s="75">
        <v>0.54097222222222219</v>
      </c>
      <c r="O3" s="75">
        <v>0.62430555555555556</v>
      </c>
      <c r="P3" s="75">
        <v>0.74930555555555556</v>
      </c>
      <c r="Q3" s="75">
        <v>0.99930555555555556</v>
      </c>
    </row>
    <row r="4" spans="1:17">
      <c r="A4" s="30" t="s">
        <v>673</v>
      </c>
      <c r="B4" s="30" t="s">
        <v>674</v>
      </c>
      <c r="C4" s="30" t="s">
        <v>675</v>
      </c>
      <c r="D4" s="76">
        <v>0.42708333333333331</v>
      </c>
      <c r="E4" s="76">
        <v>0.53611111111111143</v>
      </c>
      <c r="F4" s="9">
        <f t="shared" ref="F4:F29" si="0">VLOOKUP($A4,$L$4:$Q$6,MATCH($D4,$M$2:$Q$2,1)+1)</f>
        <v>2000</v>
      </c>
      <c r="G4" s="9">
        <v>8295</v>
      </c>
      <c r="H4" s="9">
        <v>6295</v>
      </c>
      <c r="I4" s="6" t="s">
        <v>676</v>
      </c>
      <c r="J4" s="30" t="str">
        <f t="shared" ref="J4:J29" si="1">fn기타($A4,$G4)</f>
        <v xml:space="preserve"> </v>
      </c>
      <c r="L4" s="28" t="s">
        <v>673</v>
      </c>
      <c r="M4" s="9">
        <v>3000</v>
      </c>
      <c r="N4" s="9">
        <v>2000</v>
      </c>
      <c r="O4" s="9">
        <v>1000</v>
      </c>
      <c r="P4" s="9">
        <v>1000</v>
      </c>
      <c r="Q4" s="9">
        <v>3000</v>
      </c>
    </row>
    <row r="5" spans="1:17">
      <c r="A5" s="30" t="s">
        <v>669</v>
      </c>
      <c r="B5" s="30" t="s">
        <v>677</v>
      </c>
      <c r="C5" s="30" t="s">
        <v>675</v>
      </c>
      <c r="D5" s="76">
        <v>0.4381944444444445</v>
      </c>
      <c r="E5" s="76">
        <v>0.4993055555555555</v>
      </c>
      <c r="F5" s="9">
        <f t="shared" si="0"/>
        <v>3000</v>
      </c>
      <c r="G5" s="9">
        <v>4480</v>
      </c>
      <c r="H5" s="9">
        <v>1480</v>
      </c>
      <c r="I5" s="6" t="s">
        <v>678</v>
      </c>
      <c r="J5" s="30" t="str">
        <f t="shared" si="1"/>
        <v xml:space="preserve"> </v>
      </c>
      <c r="L5" s="28" t="s">
        <v>669</v>
      </c>
      <c r="M5" s="9">
        <v>4000</v>
      </c>
      <c r="N5" s="9">
        <v>3000</v>
      </c>
      <c r="O5" s="9">
        <v>2000</v>
      </c>
      <c r="P5" s="9">
        <v>2000</v>
      </c>
      <c r="Q5" s="9">
        <v>4000</v>
      </c>
    </row>
    <row r="6" spans="1:17">
      <c r="A6" s="30" t="s">
        <v>679</v>
      </c>
      <c r="B6" s="30" t="s">
        <v>680</v>
      </c>
      <c r="C6" s="30" t="s">
        <v>681</v>
      </c>
      <c r="D6" s="76">
        <v>0.52986111111111112</v>
      </c>
      <c r="E6" s="76">
        <v>0.59375</v>
      </c>
      <c r="F6" s="9">
        <f t="shared" si="0"/>
        <v>2000</v>
      </c>
      <c r="G6" s="9">
        <v>6020</v>
      </c>
      <c r="H6" s="9">
        <v>2020</v>
      </c>
      <c r="I6" s="6" t="s">
        <v>682</v>
      </c>
      <c r="J6" s="30" t="str">
        <f t="shared" si="1"/>
        <v xml:space="preserve"> </v>
      </c>
      <c r="L6" s="28" t="s">
        <v>679</v>
      </c>
      <c r="M6" s="9">
        <v>5000</v>
      </c>
      <c r="N6" s="9">
        <v>4000</v>
      </c>
      <c r="O6" s="9">
        <v>3000</v>
      </c>
      <c r="P6" s="9">
        <v>3000</v>
      </c>
      <c r="Q6" s="9">
        <v>5000</v>
      </c>
    </row>
    <row r="7" spans="1:17">
      <c r="A7" s="30" t="s">
        <v>673</v>
      </c>
      <c r="B7" s="30" t="s">
        <v>683</v>
      </c>
      <c r="C7" s="30" t="s">
        <v>681</v>
      </c>
      <c r="D7" s="76">
        <v>0.30486111111111108</v>
      </c>
      <c r="E7" s="76">
        <v>0.51388888888888895</v>
      </c>
      <c r="F7" s="9">
        <f t="shared" si="0"/>
        <v>3000</v>
      </c>
      <c r="G7" s="9">
        <v>17535</v>
      </c>
      <c r="H7" s="9">
        <v>14535</v>
      </c>
      <c r="I7" s="6" t="s">
        <v>684</v>
      </c>
      <c r="J7" s="30" t="str">
        <f t="shared" si="1"/>
        <v xml:space="preserve"> </v>
      </c>
    </row>
    <row r="8" spans="1:17">
      <c r="A8" s="30" t="s">
        <v>669</v>
      </c>
      <c r="B8" s="30" t="s">
        <v>685</v>
      </c>
      <c r="C8" s="30" t="s">
        <v>675</v>
      </c>
      <c r="D8" s="76">
        <v>0.58124999999999993</v>
      </c>
      <c r="E8" s="76">
        <v>0.60486111111110574</v>
      </c>
      <c r="F8" s="9">
        <f t="shared" si="0"/>
        <v>2000</v>
      </c>
      <c r="G8" s="9">
        <v>2590</v>
      </c>
      <c r="H8" s="9">
        <v>590</v>
      </c>
      <c r="I8" s="6" t="s">
        <v>686</v>
      </c>
      <c r="J8" s="30" t="str">
        <f t="shared" si="1"/>
        <v xml:space="preserve"> </v>
      </c>
      <c r="L8" s="11" t="s">
        <v>396</v>
      </c>
    </row>
    <row r="9" spans="1:17">
      <c r="A9" s="30" t="s">
        <v>679</v>
      </c>
      <c r="B9" s="30" t="s">
        <v>687</v>
      </c>
      <c r="C9" s="30" t="s">
        <v>671</v>
      </c>
      <c r="D9" s="76">
        <v>0.54236111111111118</v>
      </c>
      <c r="E9" s="76">
        <v>0.58472222222222225</v>
      </c>
      <c r="F9" s="9">
        <f t="shared" si="0"/>
        <v>1000</v>
      </c>
      <c r="G9" s="9">
        <v>3535</v>
      </c>
      <c r="H9" s="9">
        <v>535</v>
      </c>
      <c r="I9" s="6" t="s">
        <v>688</v>
      </c>
      <c r="J9" s="30" t="str">
        <f t="shared" si="1"/>
        <v>※무료</v>
      </c>
      <c r="L9" s="108" t="s">
        <v>689</v>
      </c>
      <c r="M9" s="108"/>
      <c r="N9" s="73" t="s">
        <v>690</v>
      </c>
    </row>
    <row r="10" spans="1:17">
      <c r="A10" s="30" t="s">
        <v>673</v>
      </c>
      <c r="B10" s="30" t="s">
        <v>691</v>
      </c>
      <c r="C10" s="30" t="s">
        <v>681</v>
      </c>
      <c r="D10" s="76">
        <v>0.49027777777777781</v>
      </c>
      <c r="E10" s="76">
        <v>0.51874999999999993</v>
      </c>
      <c r="F10" s="9">
        <f t="shared" si="0"/>
        <v>2000</v>
      </c>
      <c r="G10" s="9">
        <v>2835</v>
      </c>
      <c r="H10" s="9">
        <v>835</v>
      </c>
      <c r="I10" s="6" t="s">
        <v>692</v>
      </c>
      <c r="J10" s="30" t="str">
        <f t="shared" si="1"/>
        <v>요금할인</v>
      </c>
      <c r="L10" s="77">
        <v>1</v>
      </c>
      <c r="M10" s="78">
        <v>2</v>
      </c>
      <c r="N10" s="6" t="str">
        <f t="array" ref="N10">REPT("★",FREQUENCY(HOUR(E3:E29)-HOUR(D3:D29),M10:M14))</f>
        <v>★★★★★★★★★★★</v>
      </c>
    </row>
    <row r="11" spans="1:17">
      <c r="A11" s="30" t="s">
        <v>669</v>
      </c>
      <c r="B11" s="30" t="s">
        <v>693</v>
      </c>
      <c r="C11" s="30" t="s">
        <v>675</v>
      </c>
      <c r="D11" s="76">
        <v>0.54027777777777775</v>
      </c>
      <c r="E11" s="76">
        <v>0.7284722222222223</v>
      </c>
      <c r="F11" s="9">
        <f t="shared" si="0"/>
        <v>3000</v>
      </c>
      <c r="G11" s="9">
        <v>16485</v>
      </c>
      <c r="H11" s="9">
        <v>13485</v>
      </c>
      <c r="I11" s="6" t="s">
        <v>686</v>
      </c>
      <c r="J11" s="30" t="str">
        <f t="shared" si="1"/>
        <v xml:space="preserve"> </v>
      </c>
      <c r="L11" s="77">
        <v>2</v>
      </c>
      <c r="M11" s="78">
        <v>4</v>
      </c>
      <c r="N11" s="6" t="str">
        <f t="array" ref="N11">REPT("★",FREQUENCY(HOUR(E4:E30)-HOUR(D4:D30),M11:M15))</f>
        <v>★★★★★★★★★★★★★★★★★</v>
      </c>
    </row>
    <row r="12" spans="1:17">
      <c r="A12" s="30" t="s">
        <v>679</v>
      </c>
      <c r="B12" s="30" t="s">
        <v>694</v>
      </c>
      <c r="C12" s="30" t="s">
        <v>671</v>
      </c>
      <c r="D12" s="76">
        <v>0.64861111111111114</v>
      </c>
      <c r="E12" s="76">
        <v>0.78680555555555554</v>
      </c>
      <c r="F12" s="9">
        <f t="shared" si="0"/>
        <v>1000</v>
      </c>
      <c r="G12" s="9">
        <v>11165</v>
      </c>
      <c r="H12" s="9">
        <v>8165</v>
      </c>
      <c r="I12" s="6" t="s">
        <v>695</v>
      </c>
      <c r="J12" s="30" t="str">
        <f t="shared" si="1"/>
        <v xml:space="preserve"> </v>
      </c>
      <c r="L12" s="77">
        <v>4</v>
      </c>
      <c r="M12" s="78">
        <v>6</v>
      </c>
      <c r="N12" s="6" t="str">
        <f t="array" ref="N12">REPT("★",FREQUENCY(HOUR(E5:E31)-HOUR(D5:D31),M12:M16))</f>
        <v>★★★★★★★★★★★★★★★★★★★★★★</v>
      </c>
    </row>
    <row r="13" spans="1:17">
      <c r="A13" s="30" t="s">
        <v>673</v>
      </c>
      <c r="B13" s="30" t="s">
        <v>696</v>
      </c>
      <c r="C13" s="30" t="s">
        <v>681</v>
      </c>
      <c r="D13" s="76">
        <v>0.56944444444444442</v>
      </c>
      <c r="E13" s="76">
        <v>0.62986111111111109</v>
      </c>
      <c r="F13" s="9">
        <f t="shared" si="0"/>
        <v>1000</v>
      </c>
      <c r="G13" s="9">
        <v>5845</v>
      </c>
      <c r="H13" s="9">
        <v>4845</v>
      </c>
      <c r="I13" s="6" t="s">
        <v>678</v>
      </c>
      <c r="J13" s="30" t="str">
        <f t="shared" si="1"/>
        <v xml:space="preserve"> </v>
      </c>
      <c r="L13" s="77">
        <v>6</v>
      </c>
      <c r="M13" s="78">
        <v>8</v>
      </c>
      <c r="N13" s="6" t="str">
        <f t="array" ref="N13">REPT("★",FREQUENCY(HOUR(E6:E32)-HOUR(D6:D32),M13:M17))</f>
        <v>★★★★★★★★★★★★★★★★★★★★★★★</v>
      </c>
    </row>
    <row r="14" spans="1:17">
      <c r="A14" s="30" t="s">
        <v>679</v>
      </c>
      <c r="B14" s="30" t="s">
        <v>697</v>
      </c>
      <c r="C14" s="30" t="s">
        <v>681</v>
      </c>
      <c r="D14" s="76">
        <v>0.38819444444444445</v>
      </c>
      <c r="E14" s="76">
        <v>0.44930555555555557</v>
      </c>
      <c r="F14" s="9">
        <f t="shared" si="0"/>
        <v>2000</v>
      </c>
      <c r="G14" s="9">
        <v>4480</v>
      </c>
      <c r="H14" s="9">
        <v>480</v>
      </c>
      <c r="I14" s="6" t="s">
        <v>676</v>
      </c>
      <c r="J14" s="30" t="str">
        <f t="shared" si="1"/>
        <v>※무료</v>
      </c>
      <c r="L14" s="77">
        <v>8</v>
      </c>
      <c r="M14" s="78"/>
      <c r="N14" s="6" t="str">
        <f t="array" ref="N14">REPT("★",FREQUENCY(HOUR(E7:E33)-HOUR(D7:D33),M14:M18))</f>
        <v>★★★★</v>
      </c>
    </row>
    <row r="15" spans="1:17">
      <c r="A15" s="30" t="s">
        <v>679</v>
      </c>
      <c r="B15" s="30" t="s">
        <v>698</v>
      </c>
      <c r="C15" s="30" t="s">
        <v>671</v>
      </c>
      <c r="D15" s="76">
        <v>0.41736111111111113</v>
      </c>
      <c r="E15" s="76">
        <v>0.57708333333333328</v>
      </c>
      <c r="F15" s="9">
        <f t="shared" si="0"/>
        <v>2000</v>
      </c>
      <c r="G15" s="9">
        <v>12250</v>
      </c>
      <c r="H15" s="9">
        <v>8250</v>
      </c>
      <c r="I15" s="6" t="s">
        <v>678</v>
      </c>
      <c r="J15" s="30" t="str">
        <f t="shared" si="1"/>
        <v xml:space="preserve"> </v>
      </c>
    </row>
    <row r="16" spans="1:17">
      <c r="A16" s="30" t="s">
        <v>673</v>
      </c>
      <c r="B16" s="30" t="s">
        <v>699</v>
      </c>
      <c r="C16" s="30" t="s">
        <v>681</v>
      </c>
      <c r="D16" s="76">
        <v>0.46249999999999997</v>
      </c>
      <c r="E16" s="76">
        <v>0.72569444444444453</v>
      </c>
      <c r="F16" s="9">
        <f t="shared" si="0"/>
        <v>2000</v>
      </c>
      <c r="G16" s="9">
        <v>21665</v>
      </c>
      <c r="H16" s="9">
        <v>19665</v>
      </c>
      <c r="I16" s="6" t="s">
        <v>676</v>
      </c>
      <c r="J16" s="30" t="str">
        <f t="shared" si="1"/>
        <v xml:space="preserve"> </v>
      </c>
      <c r="L16" s="11" t="s">
        <v>397</v>
      </c>
    </row>
    <row r="17" spans="1:15">
      <c r="A17" s="30" t="s">
        <v>669</v>
      </c>
      <c r="B17" s="30" t="s">
        <v>700</v>
      </c>
      <c r="C17" s="30" t="s">
        <v>675</v>
      </c>
      <c r="D17" s="76">
        <v>0.48958333333333331</v>
      </c>
      <c r="E17" s="76">
        <v>0.84791666666666676</v>
      </c>
      <c r="F17" s="9">
        <f t="shared" si="0"/>
        <v>3000</v>
      </c>
      <c r="G17" s="9">
        <v>30660</v>
      </c>
      <c r="H17" s="9">
        <v>27660</v>
      </c>
      <c r="I17" s="6" t="s">
        <v>688</v>
      </c>
      <c r="J17" s="30" t="str">
        <f t="shared" si="1"/>
        <v xml:space="preserve"> </v>
      </c>
      <c r="L17" s="79"/>
      <c r="M17" s="73" t="s">
        <v>688</v>
      </c>
      <c r="N17" s="73" t="s">
        <v>695</v>
      </c>
    </row>
    <row r="18" spans="1:15">
      <c r="A18" s="30" t="s">
        <v>679</v>
      </c>
      <c r="B18" s="30" t="s">
        <v>701</v>
      </c>
      <c r="C18" s="30" t="s">
        <v>675</v>
      </c>
      <c r="D18" s="76">
        <v>0.44097222222222227</v>
      </c>
      <c r="E18" s="76">
        <v>0.54513888888888573</v>
      </c>
      <c r="F18" s="9">
        <f t="shared" si="0"/>
        <v>2000</v>
      </c>
      <c r="G18" s="9">
        <v>9450</v>
      </c>
      <c r="H18" s="9">
        <v>5450</v>
      </c>
      <c r="I18" s="6" t="s">
        <v>688</v>
      </c>
      <c r="J18" s="30" t="str">
        <f t="shared" si="1"/>
        <v xml:space="preserve"> </v>
      </c>
      <c r="L18" s="28" t="s">
        <v>702</v>
      </c>
      <c r="M18" s="25"/>
      <c r="N18" s="25"/>
    </row>
    <row r="19" spans="1:15">
      <c r="A19" s="30" t="s">
        <v>673</v>
      </c>
      <c r="B19" s="30" t="s">
        <v>703</v>
      </c>
      <c r="C19" s="30" t="s">
        <v>675</v>
      </c>
      <c r="D19" s="76">
        <v>0.43402777777777773</v>
      </c>
      <c r="E19" s="76">
        <v>0.47916666666666669</v>
      </c>
      <c r="F19" s="9">
        <f t="shared" si="0"/>
        <v>2000</v>
      </c>
      <c r="G19" s="9">
        <v>3675</v>
      </c>
      <c r="H19" s="9">
        <v>1675</v>
      </c>
      <c r="I19" s="6" t="s">
        <v>686</v>
      </c>
      <c r="J19" s="30" t="str">
        <f t="shared" si="1"/>
        <v>요금할인</v>
      </c>
      <c r="L19" s="28" t="s">
        <v>704</v>
      </c>
      <c r="M19" s="25"/>
      <c r="N19" s="25"/>
    </row>
    <row r="20" spans="1:15">
      <c r="A20" s="30" t="s">
        <v>679</v>
      </c>
      <c r="B20" s="30" t="s">
        <v>705</v>
      </c>
      <c r="C20" s="30" t="s">
        <v>675</v>
      </c>
      <c r="D20" s="76">
        <v>0.69236111111111109</v>
      </c>
      <c r="E20" s="76">
        <v>0.9458333333333333</v>
      </c>
      <c r="F20" s="9">
        <f t="shared" si="0"/>
        <v>1000</v>
      </c>
      <c r="G20" s="9">
        <v>21175</v>
      </c>
      <c r="H20" s="9">
        <v>18175</v>
      </c>
      <c r="I20" s="6" t="s">
        <v>706</v>
      </c>
      <c r="J20" s="30" t="str">
        <f t="shared" si="1"/>
        <v xml:space="preserve"> </v>
      </c>
      <c r="L20" s="28" t="s">
        <v>707</v>
      </c>
      <c r="M20" s="25"/>
      <c r="N20" s="25"/>
    </row>
    <row r="21" spans="1:15">
      <c r="A21" s="30" t="s">
        <v>673</v>
      </c>
      <c r="B21" s="30" t="s">
        <v>708</v>
      </c>
      <c r="C21" s="30" t="s">
        <v>681</v>
      </c>
      <c r="D21" s="76">
        <v>0.56180555555555556</v>
      </c>
      <c r="E21" s="76">
        <v>0.89722222222222225</v>
      </c>
      <c r="F21" s="9">
        <f t="shared" si="0"/>
        <v>1000</v>
      </c>
      <c r="G21" s="9">
        <v>28105</v>
      </c>
      <c r="H21" s="9">
        <v>27105</v>
      </c>
      <c r="I21" s="6" t="s">
        <v>688</v>
      </c>
      <c r="J21" s="30" t="str">
        <f t="shared" si="1"/>
        <v xml:space="preserve"> </v>
      </c>
    </row>
    <row r="22" spans="1:15">
      <c r="A22" s="30" t="s">
        <v>669</v>
      </c>
      <c r="B22" s="30" t="s">
        <v>709</v>
      </c>
      <c r="C22" s="30" t="s">
        <v>671</v>
      </c>
      <c r="D22" s="76">
        <v>0.54722222222222217</v>
      </c>
      <c r="E22" s="76">
        <v>0.67708333333333337</v>
      </c>
      <c r="F22" s="9">
        <f t="shared" si="0"/>
        <v>2000</v>
      </c>
      <c r="G22" s="9">
        <v>10745</v>
      </c>
      <c r="H22" s="9">
        <v>8745</v>
      </c>
      <c r="I22" s="6" t="s">
        <v>678</v>
      </c>
      <c r="J22" s="30" t="str">
        <f t="shared" si="1"/>
        <v xml:space="preserve"> </v>
      </c>
      <c r="L22" s="11" t="s">
        <v>408</v>
      </c>
    </row>
    <row r="23" spans="1:15">
      <c r="A23" s="30" t="s">
        <v>669</v>
      </c>
      <c r="B23" s="30" t="s">
        <v>710</v>
      </c>
      <c r="C23" s="30" t="s">
        <v>675</v>
      </c>
      <c r="D23" s="76">
        <v>0.63124999999999998</v>
      </c>
      <c r="E23" s="76">
        <v>0.72638888888888886</v>
      </c>
      <c r="F23" s="9">
        <f t="shared" si="0"/>
        <v>2000</v>
      </c>
      <c r="G23" s="9">
        <v>7595</v>
      </c>
      <c r="H23" s="9">
        <v>5595</v>
      </c>
      <c r="I23" s="6" t="s">
        <v>695</v>
      </c>
      <c r="J23" s="30" t="str">
        <f t="shared" si="1"/>
        <v xml:space="preserve"> </v>
      </c>
      <c r="L23" s="74" t="s">
        <v>711</v>
      </c>
      <c r="M23" s="80">
        <v>10</v>
      </c>
      <c r="N23" s="80">
        <v>15</v>
      </c>
      <c r="O23" s="80">
        <v>20</v>
      </c>
    </row>
    <row r="24" spans="1:15">
      <c r="A24" s="30" t="s">
        <v>669</v>
      </c>
      <c r="B24" s="30" t="s">
        <v>712</v>
      </c>
      <c r="C24" s="30" t="s">
        <v>675</v>
      </c>
      <c r="D24" s="76">
        <v>0.57847222222222217</v>
      </c>
      <c r="E24" s="76">
        <v>0.71736111111111101</v>
      </c>
      <c r="F24" s="9">
        <f t="shared" si="0"/>
        <v>2000</v>
      </c>
      <c r="G24" s="9">
        <v>12600</v>
      </c>
      <c r="H24" s="9">
        <v>10600</v>
      </c>
      <c r="I24" s="6" t="s">
        <v>678</v>
      </c>
      <c r="J24" s="30" t="str">
        <f t="shared" si="1"/>
        <v xml:space="preserve"> </v>
      </c>
      <c r="L24" s="74" t="s">
        <v>713</v>
      </c>
      <c r="M24" s="73" t="s">
        <v>671</v>
      </c>
      <c r="N24" s="73" t="s">
        <v>681</v>
      </c>
      <c r="O24" s="73" t="s">
        <v>675</v>
      </c>
    </row>
    <row r="25" spans="1:15">
      <c r="A25" s="30" t="s">
        <v>679</v>
      </c>
      <c r="B25" s="30" t="s">
        <v>714</v>
      </c>
      <c r="C25" s="30" t="s">
        <v>681</v>
      </c>
      <c r="D25" s="76">
        <v>0.55694444444444446</v>
      </c>
      <c r="E25" s="76">
        <v>0.64861111111111114</v>
      </c>
      <c r="F25" s="9">
        <f t="shared" si="0"/>
        <v>1000</v>
      </c>
      <c r="G25" s="9">
        <v>7420</v>
      </c>
      <c r="H25" s="9">
        <v>4420</v>
      </c>
      <c r="I25" s="6" t="s">
        <v>678</v>
      </c>
      <c r="J25" s="30" t="str">
        <f t="shared" si="1"/>
        <v xml:space="preserve"> </v>
      </c>
      <c r="L25" s="81">
        <v>0.375</v>
      </c>
      <c r="M25" s="6">
        <f t="array" ref="M25">M$23-SUM(IF(($C$3:$C$29=M$24)*($D$3:$D$29&lt;$L25), 1))+SUM(IF(($E$3:$E$29=M$24)*($D$3:$D$29&lt;$L25), 1))</f>
        <v>10</v>
      </c>
      <c r="N25" s="6">
        <f t="array" ref="N25">N$23-SUM(IF(($C$3:$C$29=N$24)*($D$3:$D$29&lt;$L25), 1))+SUM(IF(($E$3:$E$29=N$24)*($D$3:$D$29&lt;$L25), 1))</f>
        <v>13</v>
      </c>
      <c r="O25" s="6">
        <f t="array" ref="O25">O$23-SUM(IF(($C$3:$C$29=O$24)*($D$3:$D$29&lt;$L25), 1))+SUM(IF(($E$3:$E$29=O$24)*($D$3:$D$29&lt;$L25), 1))</f>
        <v>20</v>
      </c>
    </row>
    <row r="26" spans="1:15">
      <c r="A26" s="30" t="s">
        <v>669</v>
      </c>
      <c r="B26" s="30" t="s">
        <v>715</v>
      </c>
      <c r="C26" s="30" t="s">
        <v>675</v>
      </c>
      <c r="D26" s="76">
        <v>0.59027777777777779</v>
      </c>
      <c r="E26" s="76">
        <v>0.82708333333333339</v>
      </c>
      <c r="F26" s="9">
        <f t="shared" si="0"/>
        <v>2000</v>
      </c>
      <c r="G26" s="9">
        <v>18935</v>
      </c>
      <c r="H26" s="9">
        <v>16935</v>
      </c>
      <c r="I26" s="6" t="s">
        <v>706</v>
      </c>
      <c r="J26" s="30" t="str">
        <f t="shared" si="1"/>
        <v xml:space="preserve"> </v>
      </c>
      <c r="L26" s="81">
        <v>0.41666666666666669</v>
      </c>
      <c r="M26" s="6">
        <f t="array" ref="M26">M$23-SUM(IF(($C$3:$C$29=M$24)*($D$3:$D$29&lt;$L26), 1))+SUM(IF(($E$3:$E$29=M$24)*($D$3:$D$29&lt;$L26), 1))</f>
        <v>9</v>
      </c>
      <c r="N26" s="6">
        <f t="array" ref="N26">N$23-SUM(IF(($C$3:$C$29=N$24)*($D$3:$D$29&lt;$L26), 1))+SUM(IF(($E$3:$E$29=N$24)*($D$3:$D$29&lt;$L26), 1))</f>
        <v>12</v>
      </c>
      <c r="O26" s="6">
        <f t="array" ref="O26">O$23-SUM(IF(($C$3:$C$29=O$24)*($D$3:$D$29&lt;$L26), 1))+SUM(IF(($E$3:$E$29=O$24)*($D$3:$D$29&lt;$L26), 1))</f>
        <v>20</v>
      </c>
    </row>
    <row r="27" spans="1:15">
      <c r="A27" s="30" t="s">
        <v>669</v>
      </c>
      <c r="B27" s="30" t="s">
        <v>716</v>
      </c>
      <c r="C27" s="30" t="s">
        <v>671</v>
      </c>
      <c r="D27" s="76">
        <v>0.52152777777777781</v>
      </c>
      <c r="E27" s="76">
        <v>0.91319444444444453</v>
      </c>
      <c r="F27" s="9">
        <f t="shared" si="0"/>
        <v>3000</v>
      </c>
      <c r="G27" s="9">
        <v>32340</v>
      </c>
      <c r="H27" s="9">
        <v>29340</v>
      </c>
      <c r="I27" s="6" t="s">
        <v>672</v>
      </c>
      <c r="J27" s="30" t="str">
        <f t="shared" si="1"/>
        <v xml:space="preserve"> </v>
      </c>
      <c r="L27" s="81">
        <v>0.45833333333333331</v>
      </c>
      <c r="M27" s="6">
        <f t="array" ref="M27">M$23-SUM(IF(($C$3:$C$29=M$24)*($D$3:$D$29&lt;$L27), 1))+SUM(IF(($E$3:$E$29=M$24)*($D$3:$D$29&lt;$L27), 1))</f>
        <v>7</v>
      </c>
      <c r="N27" s="6">
        <f t="array" ref="N27">N$23-SUM(IF(($C$3:$C$29=N$24)*($D$3:$D$29&lt;$L27), 1))+SUM(IF(($E$3:$E$29=N$24)*($D$3:$D$29&lt;$L27), 1))</f>
        <v>12</v>
      </c>
      <c r="O27" s="6">
        <f t="array" ref="O27">O$23-SUM(IF(($C$3:$C$29=O$24)*($D$3:$D$29&lt;$L27), 1))+SUM(IF(($E$3:$E$29=O$24)*($D$3:$D$29&lt;$L27), 1))</f>
        <v>16</v>
      </c>
    </row>
    <row r="28" spans="1:15">
      <c r="A28" s="30" t="s">
        <v>679</v>
      </c>
      <c r="B28" s="30" t="s">
        <v>717</v>
      </c>
      <c r="C28" s="30" t="s">
        <v>681</v>
      </c>
      <c r="D28" s="76">
        <v>0.34027777777777773</v>
      </c>
      <c r="E28" s="76">
        <v>0.97777777777777775</v>
      </c>
      <c r="F28" s="9">
        <f t="shared" si="0"/>
        <v>3000</v>
      </c>
      <c r="G28" s="9">
        <v>53130</v>
      </c>
      <c r="H28" s="9">
        <v>48130</v>
      </c>
      <c r="I28" s="6" t="s">
        <v>678</v>
      </c>
      <c r="J28" s="30" t="str">
        <f t="shared" si="1"/>
        <v xml:space="preserve"> </v>
      </c>
      <c r="L28" s="81">
        <v>0.5</v>
      </c>
      <c r="M28" s="6">
        <f t="array" ref="M28">M$23-SUM(IF(($C$3:$C$29=M$24)*($D$3:$D$29&lt;$L28), 1))+SUM(IF(($E$3:$E$29=M$24)*($D$3:$D$29&lt;$L28), 1))</f>
        <v>7</v>
      </c>
      <c r="N28" s="6">
        <f t="array" ref="N28">N$23-SUM(IF(($C$3:$C$29=N$24)*($D$3:$D$29&lt;$L28), 1))+SUM(IF(($E$3:$E$29=N$24)*($D$3:$D$29&lt;$L28), 1))</f>
        <v>10</v>
      </c>
      <c r="O28" s="6">
        <f t="array" ref="O28">O$23-SUM(IF(($C$3:$C$29=O$24)*($D$3:$D$29&lt;$L28), 1))+SUM(IF(($E$3:$E$29=O$24)*($D$3:$D$29&lt;$L28), 1))</f>
        <v>15</v>
      </c>
    </row>
    <row r="29" spans="1:15">
      <c r="A29" s="30" t="s">
        <v>679</v>
      </c>
      <c r="B29" s="30" t="s">
        <v>718</v>
      </c>
      <c r="C29" s="30" t="s">
        <v>671</v>
      </c>
      <c r="D29" s="76">
        <v>0.44444444444444442</v>
      </c>
      <c r="E29" s="76">
        <v>0.86805555555555547</v>
      </c>
      <c r="F29" s="9">
        <f t="shared" si="0"/>
        <v>2000</v>
      </c>
      <c r="G29" s="9">
        <v>35350</v>
      </c>
      <c r="H29" s="9">
        <v>31350</v>
      </c>
      <c r="I29" s="6" t="s">
        <v>688</v>
      </c>
      <c r="J29" s="30" t="str">
        <f t="shared" si="1"/>
        <v xml:space="preserve"> </v>
      </c>
      <c r="L29" s="81">
        <v>0.54166666666666663</v>
      </c>
      <c r="M29" s="6">
        <f t="array" ref="M29">M$23-SUM(IF(($C$3:$C$29=M$24)*($D$3:$D$29&lt;$L29), 1))+SUM(IF(($E$3:$E$29=M$24)*($D$3:$D$29&lt;$L29), 1))</f>
        <v>6</v>
      </c>
      <c r="N29" s="6">
        <f t="array" ref="N29">N$23-SUM(IF(($C$3:$C$29=N$24)*($D$3:$D$29&lt;$L29), 1))+SUM(IF(($E$3:$E$29=N$24)*($D$3:$D$29&lt;$L29), 1))</f>
        <v>9</v>
      </c>
      <c r="O29" s="6">
        <f t="array" ref="O29">O$23-SUM(IF(($C$3:$C$29=O$24)*($D$3:$D$29&lt;$L29), 1))+SUM(IF(($E$3:$E$29=O$24)*($D$3:$D$29&lt;$L29), 1))</f>
        <v>14</v>
      </c>
    </row>
    <row r="30" spans="1:15">
      <c r="L30" s="81">
        <v>0.625</v>
      </c>
      <c r="M30" s="6">
        <f t="array" ref="M30">M$23-SUM(IF(($C$3:$C$29=M$24)*($D$3:$D$29&lt;$L30), 1))+SUM(IF(($E$3:$E$29=M$24)*($D$3:$D$29&lt;$L30), 1))</f>
        <v>4</v>
      </c>
      <c r="N30" s="6">
        <f t="array" ref="N30">N$23-SUM(IF(($C$3:$C$29=N$24)*($D$3:$D$29&lt;$L30), 1))+SUM(IF(($E$3:$E$29=N$24)*($D$3:$D$29&lt;$L30), 1))</f>
        <v>6</v>
      </c>
      <c r="O30" s="6">
        <f t="array" ref="O30">O$23-SUM(IF(($C$3:$C$29=O$24)*($D$3:$D$29&lt;$L30), 1))+SUM(IF(($E$3:$E$29=O$24)*($D$3:$D$29&lt;$L30), 1))</f>
        <v>11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8735E-4767-4F75-9F17-9F4D1AADE149}">
  <sheetPr codeName="Sheet18"/>
  <dimension ref="A1:O29"/>
  <sheetViews>
    <sheetView workbookViewId="0">
      <selection activeCell="C3" sqref="C3:C29"/>
    </sheetView>
  </sheetViews>
  <sheetFormatPr defaultRowHeight="16.5"/>
  <cols>
    <col min="1" max="1" width="8.75" customWidth="1"/>
    <col min="3" max="3" width="11" bestFit="1" customWidth="1"/>
    <col min="5" max="5" width="5" customWidth="1"/>
    <col min="7" max="7" width="11" bestFit="1" customWidth="1"/>
    <col min="8" max="8" width="5.25" bestFit="1" customWidth="1"/>
    <col min="9" max="9" width="8.87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>
      <c r="A1" t="s">
        <v>393</v>
      </c>
      <c r="L1" t="s">
        <v>394</v>
      </c>
    </row>
    <row r="2" spans="1:15">
      <c r="A2" s="30" t="s">
        <v>719</v>
      </c>
      <c r="B2" s="30" t="s">
        <v>720</v>
      </c>
      <c r="C2" s="27" t="s">
        <v>721</v>
      </c>
      <c r="D2" s="30" t="s">
        <v>722</v>
      </c>
      <c r="E2" s="30" t="s">
        <v>723</v>
      </c>
      <c r="F2" s="30" t="s">
        <v>724</v>
      </c>
      <c r="G2" s="27" t="s">
        <v>725</v>
      </c>
      <c r="H2" s="30" t="s">
        <v>726</v>
      </c>
      <c r="I2" s="27" t="s">
        <v>727</v>
      </c>
      <c r="J2" s="30" t="s">
        <v>728</v>
      </c>
      <c r="L2" s="30" t="s">
        <v>729</v>
      </c>
      <c r="M2" s="30" t="s">
        <v>421</v>
      </c>
      <c r="N2" s="30" t="s">
        <v>511</v>
      </c>
      <c r="O2" s="30" t="s">
        <v>510</v>
      </c>
    </row>
    <row r="3" spans="1:15">
      <c r="A3" s="30" t="s">
        <v>730</v>
      </c>
      <c r="B3" s="30" t="s">
        <v>731</v>
      </c>
      <c r="C3" s="30" t="str">
        <f>INDEX($L$2:$O$5,MATCH($B3,$L$3:$L$5,1)+1,MATCH(RIGHT($B3,1),$L$2:$O$2,0))</f>
        <v>천애향중과</v>
      </c>
      <c r="D3" s="30">
        <v>3</v>
      </c>
      <c r="E3" s="30">
        <v>5</v>
      </c>
      <c r="F3" s="30">
        <v>3</v>
      </c>
      <c r="G3" s="30" t="str">
        <f>REPT("★",TRUNC(SUMPRODUCT($D3:$F3,{0.5,0.3,0.2})))&amp;REPT("☆",5-TRUNC(SUMPRODUCT($D3:$F3,{0.5,0.3,0.2})))</f>
        <v>★★★☆☆</v>
      </c>
      <c r="H3" s="30" t="s">
        <v>732</v>
      </c>
      <c r="I3" s="82">
        <f>fn포인트($E3,$F3)</f>
        <v>800</v>
      </c>
      <c r="J3" s="30" t="s">
        <v>733</v>
      </c>
      <c r="L3" s="30" t="s">
        <v>407</v>
      </c>
      <c r="M3" s="30" t="s">
        <v>734</v>
      </c>
      <c r="N3" s="30" t="s">
        <v>735</v>
      </c>
      <c r="O3" s="30" t="s">
        <v>736</v>
      </c>
    </row>
    <row r="4" spans="1:15">
      <c r="A4" s="30" t="s">
        <v>737</v>
      </c>
      <c r="B4" s="30" t="s">
        <v>738</v>
      </c>
      <c r="C4" s="30" t="str">
        <f t="shared" ref="C4:C29" si="0">INDEX($L$2:$O$5,MATCH($B4,$L$3:$L$5,1)+1,MATCH(RIGHT($B4,1),$L$2:$O$2,0))</f>
        <v>레드향대과</v>
      </c>
      <c r="D4" s="30">
        <v>5</v>
      </c>
      <c r="E4" s="30">
        <v>3</v>
      </c>
      <c r="F4" s="30">
        <v>4</v>
      </c>
      <c r="G4" s="30" t="str">
        <f>REPT("★",TRUNC(SUMPRODUCT($D4:$F4,{0.5,0.3,0.2})))&amp;REPT("☆",5-TRUNC(SUMPRODUCT($D4:$F4,{0.5,0.3,0.2})))</f>
        <v>★★★★☆</v>
      </c>
      <c r="H4" s="30" t="s">
        <v>739</v>
      </c>
      <c r="I4" s="82">
        <f t="shared" ref="I4:I29" si="1">fn포인트($E4,$F4)</f>
        <v>600</v>
      </c>
      <c r="J4" s="30" t="s">
        <v>740</v>
      </c>
      <c r="L4" s="30" t="s">
        <v>409</v>
      </c>
      <c r="M4" s="30" t="s">
        <v>741</v>
      </c>
      <c r="N4" s="30" t="s">
        <v>742</v>
      </c>
      <c r="O4" s="30" t="s">
        <v>743</v>
      </c>
    </row>
    <row r="5" spans="1:15">
      <c r="A5" s="30" t="s">
        <v>744</v>
      </c>
      <c r="B5" s="30" t="s">
        <v>745</v>
      </c>
      <c r="C5" s="30" t="str">
        <f t="shared" si="0"/>
        <v>레드향중과</v>
      </c>
      <c r="D5" s="30">
        <v>3</v>
      </c>
      <c r="E5" s="30">
        <v>1</v>
      </c>
      <c r="F5" s="30">
        <v>3</v>
      </c>
      <c r="G5" s="30" t="str">
        <f>REPT("★",TRUNC(SUMPRODUCT($D5:$F5,{0.5,0.3,0.2})))&amp;REPT("☆",5-TRUNC(SUMPRODUCT($D5:$F5,{0.5,0.3,0.2})))</f>
        <v>★★☆☆☆</v>
      </c>
      <c r="H5" s="30" t="s">
        <v>732</v>
      </c>
      <c r="I5" s="82">
        <f t="shared" si="1"/>
        <v>300</v>
      </c>
      <c r="J5" s="30" t="s">
        <v>746</v>
      </c>
      <c r="L5" s="30" t="s">
        <v>747</v>
      </c>
      <c r="M5" s="30" t="s">
        <v>748</v>
      </c>
      <c r="N5" s="30" t="s">
        <v>749</v>
      </c>
      <c r="O5" s="30" t="s">
        <v>750</v>
      </c>
    </row>
    <row r="6" spans="1:15">
      <c r="A6" s="30" t="s">
        <v>751</v>
      </c>
      <c r="B6" s="30" t="s">
        <v>752</v>
      </c>
      <c r="C6" s="30" t="str">
        <f t="shared" si="0"/>
        <v>감귤소과</v>
      </c>
      <c r="D6" s="30">
        <v>2</v>
      </c>
      <c r="E6" s="30">
        <v>3</v>
      </c>
      <c r="F6" s="30">
        <v>1</v>
      </c>
      <c r="G6" s="30" t="str">
        <f>REPT("★",TRUNC(SUMPRODUCT($D6:$F6,{0.5,0.3,0.2})))&amp;REPT("☆",5-TRUNC(SUMPRODUCT($D6:$F6,{0.5,0.3,0.2})))</f>
        <v>★★☆☆☆</v>
      </c>
      <c r="H6" s="30" t="s">
        <v>739</v>
      </c>
      <c r="I6" s="82">
        <f t="shared" si="1"/>
        <v>300</v>
      </c>
      <c r="J6" s="57" t="s">
        <v>753</v>
      </c>
    </row>
    <row r="7" spans="1:15">
      <c r="A7" s="30" t="s">
        <v>754</v>
      </c>
      <c r="B7" s="30" t="s">
        <v>755</v>
      </c>
      <c r="C7" s="30" t="str">
        <f t="shared" si="0"/>
        <v>천애향소과</v>
      </c>
      <c r="D7" s="30">
        <v>1</v>
      </c>
      <c r="E7" s="30">
        <v>2</v>
      </c>
      <c r="F7" s="30">
        <v>4</v>
      </c>
      <c r="G7" s="30" t="str">
        <f>REPT("★",TRUNC(SUMPRODUCT($D7:$F7,{0.5,0.3,0.2})))&amp;REPT("☆",5-TRUNC(SUMPRODUCT($D7:$F7,{0.5,0.3,0.2})))</f>
        <v>★☆☆☆☆</v>
      </c>
      <c r="H7" s="30" t="s">
        <v>732</v>
      </c>
      <c r="I7" s="82">
        <f t="shared" si="1"/>
        <v>600</v>
      </c>
      <c r="J7" s="57" t="s">
        <v>740</v>
      </c>
      <c r="L7" t="s">
        <v>396</v>
      </c>
    </row>
    <row r="8" spans="1:15">
      <c r="A8" s="30" t="s">
        <v>756</v>
      </c>
      <c r="B8" s="30" t="s">
        <v>738</v>
      </c>
      <c r="C8" s="30" t="str">
        <f t="shared" si="0"/>
        <v>레드향대과</v>
      </c>
      <c r="D8" s="30">
        <v>4</v>
      </c>
      <c r="E8" s="30">
        <v>2</v>
      </c>
      <c r="F8" s="30">
        <v>4</v>
      </c>
      <c r="G8" s="30" t="str">
        <f>REPT("★",TRUNC(SUMPRODUCT($D8:$F8,{0.5,0.3,0.2})))&amp;REPT("☆",5-TRUNC(SUMPRODUCT($D8:$F8,{0.5,0.3,0.2})))</f>
        <v>★★★☆☆</v>
      </c>
      <c r="H8" s="30" t="s">
        <v>739</v>
      </c>
      <c r="I8" s="82">
        <f t="shared" si="1"/>
        <v>600</v>
      </c>
      <c r="J8" s="57" t="s">
        <v>746</v>
      </c>
      <c r="L8" s="104" t="s">
        <v>722</v>
      </c>
      <c r="M8" s="104"/>
      <c r="N8" s="27" t="s">
        <v>690</v>
      </c>
    </row>
    <row r="9" spans="1:15">
      <c r="A9" s="30" t="s">
        <v>757</v>
      </c>
      <c r="B9" s="30" t="s">
        <v>752</v>
      </c>
      <c r="C9" s="30" t="str">
        <f t="shared" si="0"/>
        <v>감귤소과</v>
      </c>
      <c r="D9" s="30">
        <v>2</v>
      </c>
      <c r="E9" s="30">
        <v>3</v>
      </c>
      <c r="F9" s="30">
        <v>5</v>
      </c>
      <c r="G9" s="30" t="str">
        <f>REPT("★",TRUNC(SUMPRODUCT($D9:$F9,{0.5,0.3,0.2})))&amp;REPT("☆",5-TRUNC(SUMPRODUCT($D9:$F9,{0.5,0.3,0.2})))</f>
        <v>★★☆☆☆</v>
      </c>
      <c r="H9" s="30" t="s">
        <v>732</v>
      </c>
      <c r="I9" s="82">
        <f t="shared" si="1"/>
        <v>800</v>
      </c>
      <c r="J9" s="57" t="s">
        <v>758</v>
      </c>
      <c r="L9" s="83">
        <v>0</v>
      </c>
      <c r="M9" s="84">
        <v>1</v>
      </c>
      <c r="N9" s="30">
        <f t="array" ref="N9:N12">FREQUENCY(IF((RIGHT(B3:B29,1)="M")+((RIGHT(B3:B29,1)="L")), D3:D29),M9:M12)</f>
        <v>2</v>
      </c>
    </row>
    <row r="10" spans="1:15">
      <c r="A10" s="30" t="s">
        <v>759</v>
      </c>
      <c r="B10" s="30" t="s">
        <v>755</v>
      </c>
      <c r="C10" s="30" t="str">
        <f t="shared" si="0"/>
        <v>천애향소과</v>
      </c>
      <c r="D10" s="30">
        <v>4</v>
      </c>
      <c r="E10" s="30">
        <v>4</v>
      </c>
      <c r="F10" s="30">
        <v>3</v>
      </c>
      <c r="G10" s="30" t="str">
        <f>REPT("★",TRUNC(SUMPRODUCT($D10:$F10,{0.5,0.3,0.2})))&amp;REPT("☆",5-TRUNC(SUMPRODUCT($D10:$F10,{0.5,0.3,0.2})))</f>
        <v>★★★☆☆</v>
      </c>
      <c r="H10" s="30" t="s">
        <v>739</v>
      </c>
      <c r="I10" s="82">
        <f t="shared" si="1"/>
        <v>600</v>
      </c>
      <c r="J10" s="57" t="s">
        <v>760</v>
      </c>
      <c r="L10" s="83">
        <v>1</v>
      </c>
      <c r="M10" s="84">
        <v>2</v>
      </c>
      <c r="N10" s="30">
        <v>2</v>
      </c>
    </row>
    <row r="11" spans="1:15">
      <c r="A11" s="30" t="s">
        <v>761</v>
      </c>
      <c r="B11" s="30" t="s">
        <v>762</v>
      </c>
      <c r="C11" s="30" t="str">
        <f t="shared" si="0"/>
        <v>천애향대과</v>
      </c>
      <c r="D11" s="30">
        <v>5</v>
      </c>
      <c r="E11" s="30">
        <v>3</v>
      </c>
      <c r="F11" s="30">
        <v>4</v>
      </c>
      <c r="G11" s="30" t="str">
        <f>REPT("★",TRUNC(SUMPRODUCT($D11:$F11,{0.5,0.3,0.2})))&amp;REPT("☆",5-TRUNC(SUMPRODUCT($D11:$F11,{0.5,0.3,0.2})))</f>
        <v>★★★★☆</v>
      </c>
      <c r="H11" s="30" t="s">
        <v>732</v>
      </c>
      <c r="I11" s="82">
        <f t="shared" si="1"/>
        <v>600</v>
      </c>
      <c r="J11" s="57" t="s">
        <v>740</v>
      </c>
      <c r="L11" s="83">
        <v>2</v>
      </c>
      <c r="M11" s="84">
        <v>3</v>
      </c>
      <c r="N11" s="30">
        <v>4</v>
      </c>
    </row>
    <row r="12" spans="1:15">
      <c r="A12" s="30" t="s">
        <v>763</v>
      </c>
      <c r="B12" s="30" t="s">
        <v>762</v>
      </c>
      <c r="C12" s="30" t="str">
        <f t="shared" si="0"/>
        <v>천애향대과</v>
      </c>
      <c r="D12" s="30">
        <v>2</v>
      </c>
      <c r="E12" s="30">
        <v>3</v>
      </c>
      <c r="F12" s="30">
        <v>4</v>
      </c>
      <c r="G12" s="30" t="str">
        <f>REPT("★",TRUNC(SUMPRODUCT($D12:$F12,{0.5,0.3,0.2})))&amp;REPT("☆",5-TRUNC(SUMPRODUCT($D12:$F12,{0.5,0.3,0.2})))</f>
        <v>★★☆☆☆</v>
      </c>
      <c r="H12" s="30" t="s">
        <v>739</v>
      </c>
      <c r="I12" s="82">
        <f t="shared" si="1"/>
        <v>600</v>
      </c>
      <c r="J12" s="57" t="s">
        <v>746</v>
      </c>
      <c r="L12" s="83">
        <v>3</v>
      </c>
      <c r="M12" s="84"/>
      <c r="N12" s="30">
        <v>8</v>
      </c>
    </row>
    <row r="13" spans="1:15">
      <c r="A13" s="30" t="s">
        <v>764</v>
      </c>
      <c r="B13" s="30" t="s">
        <v>762</v>
      </c>
      <c r="C13" s="30" t="str">
        <f t="shared" si="0"/>
        <v>천애향대과</v>
      </c>
      <c r="D13" s="30">
        <v>1</v>
      </c>
      <c r="E13" s="30">
        <v>5</v>
      </c>
      <c r="F13" s="30">
        <v>4</v>
      </c>
      <c r="G13" s="30" t="str">
        <f>REPT("★",TRUNC(SUMPRODUCT($D13:$F13,{0.5,0.3,0.2})))&amp;REPT("☆",5-TRUNC(SUMPRODUCT($D13:$F13,{0.5,0.3,0.2})))</f>
        <v>★★☆☆☆</v>
      </c>
      <c r="H13" s="30" t="s">
        <v>732</v>
      </c>
      <c r="I13" s="82">
        <f t="shared" si="1"/>
        <v>800</v>
      </c>
      <c r="J13" s="57" t="s">
        <v>753</v>
      </c>
    </row>
    <row r="14" spans="1:15">
      <c r="A14" s="30" t="s">
        <v>765</v>
      </c>
      <c r="B14" s="30" t="s">
        <v>766</v>
      </c>
      <c r="C14" s="30" t="str">
        <f t="shared" si="0"/>
        <v>레드향소과</v>
      </c>
      <c r="D14" s="30">
        <v>5</v>
      </c>
      <c r="E14" s="30">
        <v>5</v>
      </c>
      <c r="F14" s="30">
        <v>5</v>
      </c>
      <c r="G14" s="30" t="str">
        <f>REPT("★",TRUNC(SUMPRODUCT($D14:$F14,{0.5,0.3,0.2})))&amp;REPT("☆",5-TRUNC(SUMPRODUCT($D14:$F14,{0.5,0.3,0.2})))</f>
        <v>★★★★★</v>
      </c>
      <c r="H14" s="30" t="s">
        <v>739</v>
      </c>
      <c r="I14" s="82">
        <f t="shared" si="1"/>
        <v>1000</v>
      </c>
      <c r="J14" s="30" t="s">
        <v>740</v>
      </c>
      <c r="L14" t="s">
        <v>397</v>
      </c>
    </row>
    <row r="15" spans="1:15">
      <c r="A15" s="30" t="s">
        <v>767</v>
      </c>
      <c r="B15" s="30" t="s">
        <v>768</v>
      </c>
      <c r="C15" s="30" t="str">
        <f t="shared" si="0"/>
        <v>감귤중과</v>
      </c>
      <c r="D15" s="30">
        <v>2</v>
      </c>
      <c r="E15" s="30">
        <v>3</v>
      </c>
      <c r="F15" s="30">
        <v>2</v>
      </c>
      <c r="G15" s="30" t="str">
        <f>REPT("★",TRUNC(SUMPRODUCT($D15:$F15,{0.5,0.3,0.2})))&amp;REPT("☆",5-TRUNC(SUMPRODUCT($D15:$F15,{0.5,0.3,0.2})))</f>
        <v>★★☆☆☆</v>
      </c>
      <c r="H15" s="30" t="s">
        <v>732</v>
      </c>
      <c r="I15" s="82">
        <f t="shared" si="1"/>
        <v>300</v>
      </c>
      <c r="J15" s="30" t="s">
        <v>746</v>
      </c>
      <c r="L15" s="30" t="s">
        <v>726</v>
      </c>
      <c r="M15" s="27" t="s">
        <v>769</v>
      </c>
      <c r="N15" s="27" t="s">
        <v>770</v>
      </c>
    </row>
    <row r="16" spans="1:15">
      <c r="A16" s="30" t="s">
        <v>771</v>
      </c>
      <c r="B16" s="30" t="s">
        <v>762</v>
      </c>
      <c r="C16" s="30" t="str">
        <f t="shared" si="0"/>
        <v>천애향대과</v>
      </c>
      <c r="D16" s="30">
        <v>4</v>
      </c>
      <c r="E16" s="30">
        <v>2</v>
      </c>
      <c r="F16" s="30">
        <v>1</v>
      </c>
      <c r="G16" s="30" t="str">
        <f>REPT("★",TRUNC(SUMPRODUCT($D16:$F16,{0.5,0.3,0.2})))&amp;REPT("☆",5-TRUNC(SUMPRODUCT($D16:$F16,{0.5,0.3,0.2})))</f>
        <v>★★☆☆☆</v>
      </c>
      <c r="H16" s="30" t="s">
        <v>739</v>
      </c>
      <c r="I16" s="82">
        <f t="shared" si="1"/>
        <v>300</v>
      </c>
      <c r="J16" s="30" t="s">
        <v>758</v>
      </c>
      <c r="L16" s="30" t="s">
        <v>732</v>
      </c>
      <c r="M16" s="30" t="str">
        <f t="array" ref="M16">_xlfn.CONCAT(SUM(IF((LEFT($J$3:$J$29,2)=M$15)*($H$3:$H$29=$L16),1)),"/", COUNTA($J$3:$J$29))</f>
        <v>6/27</v>
      </c>
      <c r="N16" s="30" t="str">
        <f t="array" ref="N16">_xlfn.CONCAT(SUM(IF((LEFT($J$3:$J$29,2)=N$15)*($H$3:$H$29=$L16),1)),"/", COUNTA($J$3:$J$29))</f>
        <v>6/27</v>
      </c>
    </row>
    <row r="17" spans="1:14">
      <c r="A17" s="30" t="s">
        <v>772</v>
      </c>
      <c r="B17" s="30" t="s">
        <v>755</v>
      </c>
      <c r="C17" s="30" t="str">
        <f t="shared" si="0"/>
        <v>천애향소과</v>
      </c>
      <c r="D17" s="30">
        <v>3</v>
      </c>
      <c r="E17" s="30">
        <v>1</v>
      </c>
      <c r="F17" s="30">
        <v>1</v>
      </c>
      <c r="G17" s="30" t="str">
        <f>REPT("★",TRUNC(SUMPRODUCT($D17:$F17,{0.5,0.3,0.2})))&amp;REPT("☆",5-TRUNC(SUMPRODUCT($D17:$F17,{0.5,0.3,0.2})))</f>
        <v>★★☆☆☆</v>
      </c>
      <c r="H17" s="30" t="s">
        <v>732</v>
      </c>
      <c r="I17" s="82">
        <f t="shared" si="1"/>
        <v>0</v>
      </c>
      <c r="J17" s="30" t="s">
        <v>740</v>
      </c>
      <c r="L17" s="30" t="s">
        <v>739</v>
      </c>
      <c r="M17" s="30" t="str">
        <f t="array" ref="M17">_xlfn.CONCAT(SUM(IF((LEFT($J$3:$J$29,2)=M$15)*($H$3:$H$29=$L17),1)),"/", COUNTA($J$3:$J$29))</f>
        <v>7/27</v>
      </c>
      <c r="N17" s="30" t="str">
        <f t="array" ref="N17">_xlfn.CONCAT(SUM(IF((LEFT($J$3:$J$29,2)=N$15)*($H$3:$H$29=$L17),1)),"/", COUNTA($J$3:$J$29))</f>
        <v>8/27</v>
      </c>
    </row>
    <row r="18" spans="1:14">
      <c r="A18" s="30" t="s">
        <v>773</v>
      </c>
      <c r="B18" s="30" t="s">
        <v>752</v>
      </c>
      <c r="C18" s="30" t="str">
        <f t="shared" si="0"/>
        <v>감귤소과</v>
      </c>
      <c r="D18" s="30">
        <v>2</v>
      </c>
      <c r="E18" s="30">
        <v>4</v>
      </c>
      <c r="F18" s="30">
        <v>2</v>
      </c>
      <c r="G18" s="30" t="str">
        <f>REPT("★",TRUNC(SUMPRODUCT($D18:$F18,{0.5,0.3,0.2})))&amp;REPT("☆",5-TRUNC(SUMPRODUCT($D18:$F18,{0.5,0.3,0.2})))</f>
        <v>★★☆☆☆</v>
      </c>
      <c r="H18" s="30" t="s">
        <v>739</v>
      </c>
      <c r="I18" s="82">
        <f t="shared" si="1"/>
        <v>600</v>
      </c>
      <c r="J18" s="30" t="s">
        <v>746</v>
      </c>
    </row>
    <row r="19" spans="1:14">
      <c r="A19" s="30" t="s">
        <v>774</v>
      </c>
      <c r="B19" s="30" t="s">
        <v>755</v>
      </c>
      <c r="C19" s="30" t="str">
        <f t="shared" si="0"/>
        <v>천애향소과</v>
      </c>
      <c r="D19" s="30">
        <v>3</v>
      </c>
      <c r="E19" s="30">
        <v>5</v>
      </c>
      <c r="F19" s="30">
        <v>5</v>
      </c>
      <c r="G19" s="30" t="str">
        <f>REPT("★",TRUNC(SUMPRODUCT($D19:$F19,{0.5,0.3,0.2})))&amp;REPT("☆",5-TRUNC(SUMPRODUCT($D19:$F19,{0.5,0.3,0.2})))</f>
        <v>★★★★☆</v>
      </c>
      <c r="H19" s="30" t="s">
        <v>739</v>
      </c>
      <c r="I19" s="82">
        <f t="shared" si="1"/>
        <v>1000</v>
      </c>
      <c r="J19" s="30" t="s">
        <v>753</v>
      </c>
    </row>
    <row r="20" spans="1:14">
      <c r="A20" s="30" t="s">
        <v>775</v>
      </c>
      <c r="B20" s="30" t="s">
        <v>755</v>
      </c>
      <c r="C20" s="30" t="str">
        <f t="shared" si="0"/>
        <v>천애향소과</v>
      </c>
      <c r="D20" s="30">
        <v>1</v>
      </c>
      <c r="E20" s="30">
        <v>1</v>
      </c>
      <c r="F20" s="30">
        <v>3</v>
      </c>
      <c r="G20" s="30" t="str">
        <f>REPT("★",TRUNC(SUMPRODUCT($D20:$F20,{0.5,0.3,0.2})))&amp;REPT("☆",5-TRUNC(SUMPRODUCT($D20:$F20,{0.5,0.3,0.2})))</f>
        <v>★☆☆☆☆</v>
      </c>
      <c r="H20" s="30" t="s">
        <v>732</v>
      </c>
      <c r="I20" s="82">
        <f t="shared" si="1"/>
        <v>300</v>
      </c>
      <c r="J20" s="30" t="s">
        <v>740</v>
      </c>
    </row>
    <row r="21" spans="1:14">
      <c r="A21" s="30" t="s">
        <v>776</v>
      </c>
      <c r="B21" s="30" t="s">
        <v>762</v>
      </c>
      <c r="C21" s="30" t="str">
        <f t="shared" si="0"/>
        <v>천애향대과</v>
      </c>
      <c r="D21" s="30">
        <v>4</v>
      </c>
      <c r="E21" s="30">
        <v>4</v>
      </c>
      <c r="F21" s="30">
        <v>4</v>
      </c>
      <c r="G21" s="30" t="str">
        <f>REPT("★",TRUNC(SUMPRODUCT($D21:$F21,{0.5,0.3,0.2})))&amp;REPT("☆",5-TRUNC(SUMPRODUCT($D21:$F21,{0.5,0.3,0.2})))</f>
        <v>★★★★☆</v>
      </c>
      <c r="H21" s="30" t="s">
        <v>739</v>
      </c>
      <c r="I21" s="82">
        <f t="shared" si="1"/>
        <v>800</v>
      </c>
      <c r="J21" s="30" t="s">
        <v>746</v>
      </c>
    </row>
    <row r="22" spans="1:14">
      <c r="A22" s="30" t="s">
        <v>777</v>
      </c>
      <c r="B22" s="30" t="s">
        <v>768</v>
      </c>
      <c r="C22" s="30" t="str">
        <f t="shared" si="0"/>
        <v>감귤중과</v>
      </c>
      <c r="D22" s="30">
        <v>3</v>
      </c>
      <c r="E22" s="30">
        <v>5</v>
      </c>
      <c r="F22" s="30">
        <v>1</v>
      </c>
      <c r="G22" s="30" t="str">
        <f>REPT("★",TRUNC(SUMPRODUCT($D22:$F22,{0.5,0.3,0.2})))&amp;REPT("☆",5-TRUNC(SUMPRODUCT($D22:$F22,{0.5,0.3,0.2})))</f>
        <v>★★★☆☆</v>
      </c>
      <c r="H22" s="30" t="s">
        <v>732</v>
      </c>
      <c r="I22" s="82">
        <f t="shared" si="1"/>
        <v>600</v>
      </c>
      <c r="J22" s="30" t="s">
        <v>758</v>
      </c>
    </row>
    <row r="23" spans="1:14">
      <c r="A23" s="30" t="s">
        <v>778</v>
      </c>
      <c r="B23" s="30" t="s">
        <v>779</v>
      </c>
      <c r="C23" s="30" t="str">
        <f t="shared" si="0"/>
        <v>감귤대과</v>
      </c>
      <c r="D23" s="30">
        <v>1</v>
      </c>
      <c r="E23" s="30">
        <v>5</v>
      </c>
      <c r="F23" s="30">
        <v>4</v>
      </c>
      <c r="G23" s="30" t="str">
        <f>REPT("★",TRUNC(SUMPRODUCT($D23:$F23,{0.5,0.3,0.2})))&amp;REPT("☆",5-TRUNC(SUMPRODUCT($D23:$F23,{0.5,0.3,0.2})))</f>
        <v>★★☆☆☆</v>
      </c>
      <c r="H23" s="30" t="s">
        <v>739</v>
      </c>
      <c r="I23" s="82">
        <f t="shared" si="1"/>
        <v>800</v>
      </c>
      <c r="J23" s="30" t="s">
        <v>740</v>
      </c>
    </row>
    <row r="24" spans="1:14">
      <c r="A24" s="30" t="s">
        <v>780</v>
      </c>
      <c r="B24" s="30" t="s">
        <v>738</v>
      </c>
      <c r="C24" s="30" t="str">
        <f t="shared" si="0"/>
        <v>레드향대과</v>
      </c>
      <c r="D24" s="30">
        <v>5</v>
      </c>
      <c r="E24" s="30">
        <v>3</v>
      </c>
      <c r="F24" s="30">
        <v>4</v>
      </c>
      <c r="G24" s="30" t="str">
        <f>REPT("★",TRUNC(SUMPRODUCT($D24:$F24,{0.5,0.3,0.2})))&amp;REPT("☆",5-TRUNC(SUMPRODUCT($D24:$F24,{0.5,0.3,0.2})))</f>
        <v>★★★★☆</v>
      </c>
      <c r="H24" s="30" t="s">
        <v>732</v>
      </c>
      <c r="I24" s="82">
        <f t="shared" si="1"/>
        <v>600</v>
      </c>
      <c r="J24" s="30" t="s">
        <v>746</v>
      </c>
    </row>
    <row r="25" spans="1:14">
      <c r="A25" s="30" t="s">
        <v>781</v>
      </c>
      <c r="B25" s="30" t="s">
        <v>752</v>
      </c>
      <c r="C25" s="30" t="str">
        <f t="shared" si="0"/>
        <v>감귤소과</v>
      </c>
      <c r="D25" s="30">
        <v>3</v>
      </c>
      <c r="E25" s="30">
        <v>5</v>
      </c>
      <c r="F25" s="30">
        <v>3</v>
      </c>
      <c r="G25" s="30" t="str">
        <f>REPT("★",TRUNC(SUMPRODUCT($D25:$F25,{0.5,0.3,0.2})))&amp;REPT("☆",5-TRUNC(SUMPRODUCT($D25:$F25,{0.5,0.3,0.2})))</f>
        <v>★★★☆☆</v>
      </c>
      <c r="H25" s="30" t="s">
        <v>739</v>
      </c>
      <c r="I25" s="82">
        <f t="shared" si="1"/>
        <v>800</v>
      </c>
      <c r="J25" s="30" t="s">
        <v>753</v>
      </c>
    </row>
    <row r="26" spans="1:14">
      <c r="A26" s="30" t="s">
        <v>782</v>
      </c>
      <c r="B26" s="30" t="s">
        <v>779</v>
      </c>
      <c r="C26" s="30" t="str">
        <f t="shared" si="0"/>
        <v>감귤대과</v>
      </c>
      <c r="D26" s="30">
        <v>4</v>
      </c>
      <c r="E26" s="30">
        <v>1</v>
      </c>
      <c r="F26" s="30">
        <v>2</v>
      </c>
      <c r="G26" s="30" t="str">
        <f>REPT("★",TRUNC(SUMPRODUCT($D26:$F26,{0.5,0.3,0.2})))&amp;REPT("☆",5-TRUNC(SUMPRODUCT($D26:$F26,{0.5,0.3,0.2})))</f>
        <v>★★☆☆☆</v>
      </c>
      <c r="H26" s="30" t="s">
        <v>739</v>
      </c>
      <c r="I26" s="82">
        <f t="shared" si="1"/>
        <v>300</v>
      </c>
      <c r="J26" s="30" t="s">
        <v>740</v>
      </c>
    </row>
    <row r="27" spans="1:14">
      <c r="A27" s="30" t="s">
        <v>783</v>
      </c>
      <c r="B27" s="30" t="s">
        <v>766</v>
      </c>
      <c r="C27" s="30" t="str">
        <f t="shared" si="0"/>
        <v>레드향소과</v>
      </c>
      <c r="D27" s="30">
        <v>4</v>
      </c>
      <c r="E27" s="30">
        <v>4</v>
      </c>
      <c r="F27" s="30">
        <v>4</v>
      </c>
      <c r="G27" s="30" t="str">
        <f>REPT("★",TRUNC(SUMPRODUCT($D27:$F27,{0.5,0.3,0.2})))&amp;REPT("☆",5-TRUNC(SUMPRODUCT($D27:$F27,{0.5,0.3,0.2})))</f>
        <v>★★★★☆</v>
      </c>
      <c r="H27" s="30" t="s">
        <v>732</v>
      </c>
      <c r="I27" s="82">
        <f t="shared" si="1"/>
        <v>800</v>
      </c>
      <c r="J27" s="30" t="s">
        <v>746</v>
      </c>
    </row>
    <row r="28" spans="1:14">
      <c r="A28" s="30" t="s">
        <v>784</v>
      </c>
      <c r="B28" s="30" t="s">
        <v>762</v>
      </c>
      <c r="C28" s="30" t="str">
        <f t="shared" si="0"/>
        <v>천애향대과</v>
      </c>
      <c r="D28" s="30">
        <v>3</v>
      </c>
      <c r="E28" s="30">
        <v>1</v>
      </c>
      <c r="F28" s="30">
        <v>3</v>
      </c>
      <c r="G28" s="30" t="str">
        <f>REPT("★",TRUNC(SUMPRODUCT($D28:$F28,{0.5,0.3,0.2})))&amp;REPT("☆",5-TRUNC(SUMPRODUCT($D28:$F28,{0.5,0.3,0.2})))</f>
        <v>★★☆☆☆</v>
      </c>
      <c r="H28" s="30" t="s">
        <v>739</v>
      </c>
      <c r="I28" s="82">
        <f t="shared" si="1"/>
        <v>300</v>
      </c>
      <c r="J28" s="30" t="s">
        <v>758</v>
      </c>
    </row>
    <row r="29" spans="1:14">
      <c r="A29" s="30" t="s">
        <v>785</v>
      </c>
      <c r="B29" s="30" t="s">
        <v>768</v>
      </c>
      <c r="C29" s="30" t="str">
        <f t="shared" si="0"/>
        <v>감귤중과</v>
      </c>
      <c r="D29" s="30">
        <v>5</v>
      </c>
      <c r="E29" s="30">
        <v>4</v>
      </c>
      <c r="F29" s="30">
        <v>5</v>
      </c>
      <c r="G29" s="30" t="str">
        <f>REPT("★",TRUNC(SUMPRODUCT($D29:$F29,{0.5,0.3,0.2})))&amp;REPT("☆",5-TRUNC(SUMPRODUCT($D29:$F29,{0.5,0.3,0.2})))</f>
        <v>★★★★☆</v>
      </c>
      <c r="H29" s="30" t="s">
        <v>739</v>
      </c>
      <c r="I29" s="82">
        <f t="shared" si="1"/>
        <v>800</v>
      </c>
      <c r="J29" s="30" t="s">
        <v>740</v>
      </c>
    </row>
  </sheetData>
  <mergeCells count="1">
    <mergeCell ref="L8:M8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9868-499C-46E5-995A-5F7CB1751324}">
  <sheetPr codeName="Sheet19"/>
  <dimension ref="A1:J46"/>
  <sheetViews>
    <sheetView topLeftCell="A6" workbookViewId="0">
      <selection activeCell="G3" sqref="G3:G32"/>
    </sheetView>
  </sheetViews>
  <sheetFormatPr defaultRowHeight="16.5"/>
  <cols>
    <col min="2" max="2" width="13.125" bestFit="1" customWidth="1"/>
    <col min="3" max="5" width="14.25" bestFit="1" customWidth="1"/>
    <col min="7" max="7" width="11" bestFit="1" customWidth="1"/>
    <col min="8" max="8" width="13.25" bestFit="1" customWidth="1"/>
    <col min="9" max="10" width="12.875" bestFit="1" customWidth="1"/>
  </cols>
  <sheetData>
    <row r="1" spans="1:9">
      <c r="A1" t="s">
        <v>393</v>
      </c>
    </row>
    <row r="2" spans="1:9">
      <c r="A2" s="30" t="s">
        <v>444</v>
      </c>
      <c r="B2" s="30" t="s">
        <v>445</v>
      </c>
      <c r="C2" s="30" t="s">
        <v>446</v>
      </c>
      <c r="D2" s="37" t="s">
        <v>447</v>
      </c>
      <c r="E2" s="30" t="s">
        <v>448</v>
      </c>
      <c r="F2" s="30" t="s">
        <v>449</v>
      </c>
      <c r="G2" s="38" t="s">
        <v>450</v>
      </c>
      <c r="H2" s="38" t="s">
        <v>451</v>
      </c>
      <c r="I2" s="38" t="s">
        <v>402</v>
      </c>
    </row>
    <row r="3" spans="1:9">
      <c r="A3" s="39" t="s">
        <v>452</v>
      </c>
      <c r="B3" s="30" t="s">
        <v>400</v>
      </c>
      <c r="C3" s="40">
        <v>44910</v>
      </c>
      <c r="D3" s="39" t="s">
        <v>453</v>
      </c>
      <c r="E3" s="41">
        <v>5000000</v>
      </c>
      <c r="F3" s="42">
        <v>18</v>
      </c>
      <c r="G3" s="43">
        <f>VLOOKUP($B3,$A$37:$E$39,MATCH(E3,$B$35:$E$35,1)+1,FALSE)+IF(F3&lt;20,50,IF(F3&lt;60,100,150))</f>
        <v>1450</v>
      </c>
      <c r="H3" s="44">
        <f>PMT(IF($B3="일반",4%,3.5%)/12,$F3,-$E3)</f>
        <v>286657.00707783952</v>
      </c>
      <c r="I3" s="30" t="e">
        <f ca="1">fn비고(E3,F3)</f>
        <v>#NAME?</v>
      </c>
    </row>
    <row r="4" spans="1:9">
      <c r="A4" s="39" t="s">
        <v>454</v>
      </c>
      <c r="B4" s="30" t="s">
        <v>455</v>
      </c>
      <c r="C4" s="40">
        <v>44724</v>
      </c>
      <c r="D4" s="39" t="s">
        <v>453</v>
      </c>
      <c r="E4" s="41">
        <v>5000000</v>
      </c>
      <c r="F4" s="42">
        <v>30</v>
      </c>
      <c r="G4" s="43">
        <f t="shared" ref="G4:G32" si="0">VLOOKUP($B4,$A$37:$E$39,MATCH(E4,$B$35:$E$35,1)+1,FALSE)+IF(F4&lt;20,50,IF(F4&lt;60,100,150))</f>
        <v>1100</v>
      </c>
      <c r="H4" s="44">
        <f t="shared" ref="H4:H32" si="1">PMT(IF($B4="일반",4%,3.5%)/12,$F4,-$E4)</f>
        <v>174307.43943339199</v>
      </c>
      <c r="I4" s="30"/>
    </row>
    <row r="5" spans="1:9">
      <c r="A5" s="39" t="s">
        <v>456</v>
      </c>
      <c r="B5" s="30" t="s">
        <v>400</v>
      </c>
      <c r="C5" s="40">
        <v>44892</v>
      </c>
      <c r="D5" s="39" t="s">
        <v>453</v>
      </c>
      <c r="E5" s="41">
        <v>3000000</v>
      </c>
      <c r="F5" s="42">
        <v>24</v>
      </c>
      <c r="G5" s="43">
        <f t="shared" si="0"/>
        <v>1700</v>
      </c>
      <c r="H5" s="44">
        <f t="shared" si="1"/>
        <v>130274.76651232217</v>
      </c>
      <c r="I5" s="30"/>
    </row>
    <row r="6" spans="1:9">
      <c r="A6" s="39" t="s">
        <v>457</v>
      </c>
      <c r="B6" s="30" t="s">
        <v>458</v>
      </c>
      <c r="C6" s="40">
        <v>44858</v>
      </c>
      <c r="D6" s="39" t="s">
        <v>459</v>
      </c>
      <c r="E6" s="41">
        <v>2500000</v>
      </c>
      <c r="F6" s="42">
        <v>12</v>
      </c>
      <c r="G6" s="43">
        <f t="shared" si="0"/>
        <v>1450</v>
      </c>
      <c r="H6" s="44">
        <f t="shared" si="1"/>
        <v>212304.07461016939</v>
      </c>
      <c r="I6" s="30"/>
    </row>
    <row r="7" spans="1:9">
      <c r="A7" s="39" t="s">
        <v>460</v>
      </c>
      <c r="B7" s="30" t="s">
        <v>400</v>
      </c>
      <c r="C7" s="40">
        <v>44425</v>
      </c>
      <c r="D7" s="39" t="s">
        <v>453</v>
      </c>
      <c r="E7" s="41">
        <v>8000000</v>
      </c>
      <c r="F7" s="42">
        <v>30</v>
      </c>
      <c r="G7" s="43">
        <f t="shared" si="0"/>
        <v>1500</v>
      </c>
      <c r="H7" s="44">
        <f t="shared" si="1"/>
        <v>280666.01377053867</v>
      </c>
      <c r="I7" s="30"/>
    </row>
    <row r="8" spans="1:9">
      <c r="A8" s="39" t="s">
        <v>461</v>
      </c>
      <c r="B8" s="30" t="s">
        <v>458</v>
      </c>
      <c r="C8" s="40">
        <v>44904</v>
      </c>
      <c r="D8" s="39" t="s">
        <v>453</v>
      </c>
      <c r="E8" s="41">
        <v>10000000</v>
      </c>
      <c r="F8" s="42">
        <v>12</v>
      </c>
      <c r="G8" s="43">
        <f t="shared" si="0"/>
        <v>1050</v>
      </c>
      <c r="H8" s="44">
        <f t="shared" si="1"/>
        <v>849216.29844067758</v>
      </c>
      <c r="I8" s="30"/>
    </row>
    <row r="9" spans="1:9">
      <c r="A9" s="39" t="s">
        <v>462</v>
      </c>
      <c r="B9" s="30" t="s">
        <v>400</v>
      </c>
      <c r="C9" s="40">
        <v>44605</v>
      </c>
      <c r="D9" s="39" t="s">
        <v>463</v>
      </c>
      <c r="E9" s="41">
        <v>7000000</v>
      </c>
      <c r="F9" s="42">
        <v>30</v>
      </c>
      <c r="G9" s="43">
        <f t="shared" si="0"/>
        <v>1500</v>
      </c>
      <c r="H9" s="44">
        <f t="shared" si="1"/>
        <v>245582.76204922138</v>
      </c>
      <c r="I9" s="30"/>
    </row>
    <row r="10" spans="1:9">
      <c r="A10" s="39" t="s">
        <v>464</v>
      </c>
      <c r="B10" s="30" t="s">
        <v>458</v>
      </c>
      <c r="C10" s="40">
        <v>44359</v>
      </c>
      <c r="D10" s="39" t="s">
        <v>459</v>
      </c>
      <c r="E10" s="41">
        <v>2000000</v>
      </c>
      <c r="F10" s="42">
        <v>60</v>
      </c>
      <c r="G10" s="43">
        <f t="shared" si="0"/>
        <v>1550</v>
      </c>
      <c r="H10" s="44">
        <f t="shared" si="1"/>
        <v>36383.489940512802</v>
      </c>
      <c r="I10" s="30"/>
    </row>
    <row r="11" spans="1:9">
      <c r="A11" s="39" t="s">
        <v>465</v>
      </c>
      <c r="B11" s="30" t="s">
        <v>455</v>
      </c>
      <c r="C11" s="40">
        <v>44280</v>
      </c>
      <c r="D11" s="39" t="s">
        <v>453</v>
      </c>
      <c r="E11" s="41">
        <v>5000000</v>
      </c>
      <c r="F11" s="42">
        <v>30</v>
      </c>
      <c r="G11" s="43">
        <f t="shared" si="0"/>
        <v>1100</v>
      </c>
      <c r="H11" s="44">
        <f t="shared" si="1"/>
        <v>174307.43943339199</v>
      </c>
      <c r="I11" s="30"/>
    </row>
    <row r="12" spans="1:9">
      <c r="A12" s="39" t="s">
        <v>466</v>
      </c>
      <c r="B12" s="30" t="s">
        <v>400</v>
      </c>
      <c r="C12" s="40">
        <v>44371</v>
      </c>
      <c r="D12" s="39" t="s">
        <v>459</v>
      </c>
      <c r="E12" s="41">
        <v>3000000</v>
      </c>
      <c r="F12" s="42">
        <v>36</v>
      </c>
      <c r="G12" s="43">
        <f t="shared" si="0"/>
        <v>1700</v>
      </c>
      <c r="H12" s="44">
        <f t="shared" si="1"/>
        <v>88571.955020531052</v>
      </c>
      <c r="I12" s="30"/>
    </row>
    <row r="13" spans="1:9">
      <c r="A13" s="39" t="s">
        <v>467</v>
      </c>
      <c r="B13" s="30" t="s">
        <v>458</v>
      </c>
      <c r="C13" s="40">
        <v>44719</v>
      </c>
      <c r="D13" s="39" t="s">
        <v>463</v>
      </c>
      <c r="E13" s="41">
        <v>5000000</v>
      </c>
      <c r="F13" s="42">
        <v>30</v>
      </c>
      <c r="G13" s="43">
        <f t="shared" si="0"/>
        <v>1300</v>
      </c>
      <c r="H13" s="44">
        <f t="shared" si="1"/>
        <v>174307.43943339199</v>
      </c>
      <c r="I13" s="30"/>
    </row>
    <row r="14" spans="1:9">
      <c r="A14" s="39" t="s">
        <v>468</v>
      </c>
      <c r="B14" s="30" t="s">
        <v>455</v>
      </c>
      <c r="C14" s="40">
        <v>44548</v>
      </c>
      <c r="D14" s="39" t="s">
        <v>469</v>
      </c>
      <c r="E14" s="41">
        <v>12000000</v>
      </c>
      <c r="F14" s="42">
        <v>60</v>
      </c>
      <c r="G14" s="43">
        <f t="shared" si="0"/>
        <v>950</v>
      </c>
      <c r="H14" s="44">
        <f t="shared" si="1"/>
        <v>218300.9396430768</v>
      </c>
      <c r="I14" s="30"/>
    </row>
    <row r="15" spans="1:9">
      <c r="A15" s="39" t="s">
        <v>470</v>
      </c>
      <c r="B15" s="30" t="s">
        <v>455</v>
      </c>
      <c r="C15" s="40">
        <v>44478</v>
      </c>
      <c r="D15" s="39" t="s">
        <v>463</v>
      </c>
      <c r="E15" s="41">
        <v>15000000</v>
      </c>
      <c r="F15" s="42">
        <v>60</v>
      </c>
      <c r="G15" s="43">
        <f t="shared" si="0"/>
        <v>950</v>
      </c>
      <c r="H15" s="44">
        <f t="shared" si="1"/>
        <v>272876.17455384601</v>
      </c>
      <c r="I15" s="30"/>
    </row>
    <row r="16" spans="1:9">
      <c r="A16" s="39" t="s">
        <v>471</v>
      </c>
      <c r="B16" s="30" t="s">
        <v>400</v>
      </c>
      <c r="C16" s="40">
        <v>43968</v>
      </c>
      <c r="D16" s="39" t="s">
        <v>453</v>
      </c>
      <c r="E16" s="41">
        <v>5000000</v>
      </c>
      <c r="F16" s="42">
        <v>36</v>
      </c>
      <c r="G16" s="43">
        <f t="shared" si="0"/>
        <v>1500</v>
      </c>
      <c r="H16" s="44">
        <f t="shared" si="1"/>
        <v>147619.92503421841</v>
      </c>
      <c r="I16" s="30"/>
    </row>
    <row r="17" spans="1:9">
      <c r="A17" s="39" t="s">
        <v>472</v>
      </c>
      <c r="B17" s="30" t="s">
        <v>400</v>
      </c>
      <c r="C17" s="40">
        <v>44806</v>
      </c>
      <c r="D17" s="39" t="s">
        <v>463</v>
      </c>
      <c r="E17" s="41">
        <v>7000000</v>
      </c>
      <c r="F17" s="42">
        <v>24</v>
      </c>
      <c r="G17" s="43">
        <f t="shared" si="0"/>
        <v>1500</v>
      </c>
      <c r="H17" s="44">
        <f t="shared" si="1"/>
        <v>303974.45519541838</v>
      </c>
      <c r="I17" s="30"/>
    </row>
    <row r="18" spans="1:9">
      <c r="A18" s="39" t="s">
        <v>473</v>
      </c>
      <c r="B18" s="30" t="s">
        <v>400</v>
      </c>
      <c r="C18" s="40">
        <v>44439</v>
      </c>
      <c r="D18" s="39" t="s">
        <v>459</v>
      </c>
      <c r="E18" s="41">
        <v>3500000</v>
      </c>
      <c r="F18" s="42">
        <v>36</v>
      </c>
      <c r="G18" s="43">
        <f t="shared" si="0"/>
        <v>1700</v>
      </c>
      <c r="H18" s="44">
        <f t="shared" si="1"/>
        <v>103333.94752395288</v>
      </c>
      <c r="I18" s="30"/>
    </row>
    <row r="19" spans="1:9">
      <c r="A19" s="39" t="s">
        <v>474</v>
      </c>
      <c r="B19" s="30" t="s">
        <v>458</v>
      </c>
      <c r="C19" s="40">
        <v>44064</v>
      </c>
      <c r="D19" s="39" t="s">
        <v>459</v>
      </c>
      <c r="E19" s="41">
        <v>1000000</v>
      </c>
      <c r="F19" s="42">
        <v>48</v>
      </c>
      <c r="G19" s="43">
        <f t="shared" si="0"/>
        <v>1500</v>
      </c>
      <c r="H19" s="44">
        <f t="shared" si="1"/>
        <v>22356.001051697014</v>
      </c>
      <c r="I19" s="30"/>
    </row>
    <row r="20" spans="1:9">
      <c r="A20" s="39" t="s">
        <v>475</v>
      </c>
      <c r="B20" s="30" t="s">
        <v>455</v>
      </c>
      <c r="C20" s="40">
        <v>44581</v>
      </c>
      <c r="D20" s="39" t="s">
        <v>469</v>
      </c>
      <c r="E20" s="41">
        <v>27000000</v>
      </c>
      <c r="F20" s="42">
        <v>48</v>
      </c>
      <c r="G20" s="43">
        <f t="shared" si="0"/>
        <v>900</v>
      </c>
      <c r="H20" s="44">
        <f t="shared" si="1"/>
        <v>603612.02839581936</v>
      </c>
      <c r="I20" s="30"/>
    </row>
    <row r="21" spans="1:9">
      <c r="A21" s="39" t="s">
        <v>476</v>
      </c>
      <c r="B21" s="30" t="s">
        <v>400</v>
      </c>
      <c r="C21" s="40">
        <v>44695</v>
      </c>
      <c r="D21" s="39" t="s">
        <v>463</v>
      </c>
      <c r="E21" s="41">
        <v>5000000</v>
      </c>
      <c r="F21" s="42">
        <v>18</v>
      </c>
      <c r="G21" s="43">
        <f t="shared" si="0"/>
        <v>1450</v>
      </c>
      <c r="H21" s="44">
        <f t="shared" si="1"/>
        <v>286657.00707783952</v>
      </c>
      <c r="I21" s="30"/>
    </row>
    <row r="22" spans="1:9">
      <c r="A22" s="39" t="s">
        <v>477</v>
      </c>
      <c r="B22" s="30" t="s">
        <v>400</v>
      </c>
      <c r="C22" s="40">
        <v>44277</v>
      </c>
      <c r="D22" s="39" t="s">
        <v>469</v>
      </c>
      <c r="E22" s="41">
        <v>15000000</v>
      </c>
      <c r="F22" s="42">
        <v>60</v>
      </c>
      <c r="G22" s="43">
        <f t="shared" si="0"/>
        <v>1350</v>
      </c>
      <c r="H22" s="44">
        <f t="shared" si="1"/>
        <v>276247.83082899527</v>
      </c>
      <c r="I22" s="30"/>
    </row>
    <row r="23" spans="1:9">
      <c r="A23" s="39" t="s">
        <v>478</v>
      </c>
      <c r="B23" s="30" t="s">
        <v>400</v>
      </c>
      <c r="C23" s="40">
        <v>44816</v>
      </c>
      <c r="D23" s="39" t="s">
        <v>453</v>
      </c>
      <c r="E23" s="41">
        <v>3000000</v>
      </c>
      <c r="F23" s="42">
        <v>24</v>
      </c>
      <c r="G23" s="43">
        <f t="shared" si="0"/>
        <v>1700</v>
      </c>
      <c r="H23" s="44">
        <f t="shared" si="1"/>
        <v>130274.76651232217</v>
      </c>
      <c r="I23" s="30"/>
    </row>
    <row r="24" spans="1:9">
      <c r="A24" s="39" t="s">
        <v>479</v>
      </c>
      <c r="B24" s="30" t="s">
        <v>400</v>
      </c>
      <c r="C24" s="40">
        <v>44334</v>
      </c>
      <c r="D24" s="39" t="s">
        <v>459</v>
      </c>
      <c r="E24" s="41">
        <v>3000000</v>
      </c>
      <c r="F24" s="42">
        <v>36</v>
      </c>
      <c r="G24" s="43">
        <f t="shared" si="0"/>
        <v>1700</v>
      </c>
      <c r="H24" s="44">
        <f t="shared" si="1"/>
        <v>88571.955020531052</v>
      </c>
      <c r="I24" s="30"/>
    </row>
    <row r="25" spans="1:9">
      <c r="A25" s="39" t="s">
        <v>480</v>
      </c>
      <c r="B25" s="30" t="s">
        <v>400</v>
      </c>
      <c r="C25" s="40">
        <v>44736</v>
      </c>
      <c r="D25" s="39" t="s">
        <v>463</v>
      </c>
      <c r="E25" s="41">
        <v>10000000</v>
      </c>
      <c r="F25" s="42">
        <v>16</v>
      </c>
      <c r="G25" s="43">
        <f t="shared" si="0"/>
        <v>1250</v>
      </c>
      <c r="H25" s="44">
        <f t="shared" si="1"/>
        <v>642855.65038613358</v>
      </c>
      <c r="I25" s="30"/>
    </row>
    <row r="26" spans="1:9">
      <c r="A26" s="39" t="s">
        <v>481</v>
      </c>
      <c r="B26" s="30" t="s">
        <v>458</v>
      </c>
      <c r="C26" s="40">
        <v>44397</v>
      </c>
      <c r="D26" s="39" t="s">
        <v>469</v>
      </c>
      <c r="E26" s="41">
        <v>15000000</v>
      </c>
      <c r="F26" s="42">
        <v>60</v>
      </c>
      <c r="G26" s="43">
        <f t="shared" si="0"/>
        <v>1150</v>
      </c>
      <c r="H26" s="44">
        <f t="shared" si="1"/>
        <v>272876.17455384601</v>
      </c>
      <c r="I26" s="30"/>
    </row>
    <row r="27" spans="1:9">
      <c r="A27" s="39" t="s">
        <v>482</v>
      </c>
      <c r="B27" s="30" t="s">
        <v>455</v>
      </c>
      <c r="C27" s="40">
        <v>44411</v>
      </c>
      <c r="D27" s="39" t="s">
        <v>463</v>
      </c>
      <c r="E27" s="41">
        <v>6000000</v>
      </c>
      <c r="F27" s="42">
        <v>24</v>
      </c>
      <c r="G27" s="43">
        <f t="shared" si="0"/>
        <v>1100</v>
      </c>
      <c r="H27" s="44">
        <f t="shared" si="1"/>
        <v>259216.33281446106</v>
      </c>
      <c r="I27" s="30"/>
    </row>
    <row r="28" spans="1:9">
      <c r="A28" s="39" t="s">
        <v>483</v>
      </c>
      <c r="B28" s="30" t="s">
        <v>400</v>
      </c>
      <c r="C28" s="40">
        <v>44707</v>
      </c>
      <c r="D28" s="39" t="s">
        <v>459</v>
      </c>
      <c r="E28" s="41">
        <v>4000000</v>
      </c>
      <c r="F28" s="42">
        <v>48</v>
      </c>
      <c r="G28" s="43">
        <f t="shared" si="0"/>
        <v>1700</v>
      </c>
      <c r="H28" s="44">
        <f t="shared" si="1"/>
        <v>90316.218566759911</v>
      </c>
      <c r="I28" s="30"/>
    </row>
    <row r="29" spans="1:9">
      <c r="A29" s="39" t="s">
        <v>484</v>
      </c>
      <c r="B29" s="30" t="s">
        <v>455</v>
      </c>
      <c r="C29" s="40">
        <v>44898</v>
      </c>
      <c r="D29" s="39" t="s">
        <v>469</v>
      </c>
      <c r="E29" s="41">
        <v>35000000</v>
      </c>
      <c r="F29" s="42">
        <v>24</v>
      </c>
      <c r="G29" s="43">
        <f t="shared" si="0"/>
        <v>900</v>
      </c>
      <c r="H29" s="44">
        <f t="shared" si="1"/>
        <v>1512095.2747510229</v>
      </c>
      <c r="I29" s="30"/>
    </row>
    <row r="30" spans="1:9">
      <c r="A30" s="39" t="s">
        <v>485</v>
      </c>
      <c r="B30" s="30" t="s">
        <v>400</v>
      </c>
      <c r="C30" s="40">
        <v>44059</v>
      </c>
      <c r="D30" s="39" t="s">
        <v>453</v>
      </c>
      <c r="E30" s="41">
        <v>2000000</v>
      </c>
      <c r="F30" s="42">
        <v>36</v>
      </c>
      <c r="G30" s="43">
        <f t="shared" si="0"/>
        <v>1700</v>
      </c>
      <c r="H30" s="44">
        <f t="shared" si="1"/>
        <v>59047.970013687365</v>
      </c>
      <c r="I30" s="30"/>
    </row>
    <row r="31" spans="1:9">
      <c r="A31" s="39" t="s">
        <v>486</v>
      </c>
      <c r="B31" s="30" t="s">
        <v>455</v>
      </c>
      <c r="C31" s="40">
        <v>44682</v>
      </c>
      <c r="D31" s="39" t="s">
        <v>463</v>
      </c>
      <c r="E31" s="41">
        <v>5000000</v>
      </c>
      <c r="F31" s="42">
        <v>24</v>
      </c>
      <c r="G31" s="43">
        <f t="shared" si="0"/>
        <v>1100</v>
      </c>
      <c r="H31" s="44">
        <f t="shared" si="1"/>
        <v>216013.61067871755</v>
      </c>
      <c r="I31" s="30"/>
    </row>
    <row r="32" spans="1:9">
      <c r="A32" s="39" t="s">
        <v>487</v>
      </c>
      <c r="B32" s="30" t="s">
        <v>400</v>
      </c>
      <c r="C32" s="40">
        <v>44539</v>
      </c>
      <c r="D32" s="39" t="s">
        <v>469</v>
      </c>
      <c r="E32" s="41">
        <v>15000000</v>
      </c>
      <c r="F32" s="42">
        <v>30</v>
      </c>
      <c r="G32" s="43">
        <f t="shared" si="0"/>
        <v>1300</v>
      </c>
      <c r="H32" s="44">
        <f t="shared" si="1"/>
        <v>526248.77581976005</v>
      </c>
      <c r="I32" s="30"/>
    </row>
    <row r="33" spans="1:10">
      <c r="A33" s="34"/>
      <c r="B33" s="34"/>
      <c r="C33" s="34"/>
      <c r="D33" s="34"/>
      <c r="E33" s="34"/>
      <c r="F33" s="34"/>
      <c r="G33" s="34"/>
      <c r="H33" s="34"/>
      <c r="I33" s="34"/>
    </row>
    <row r="34" spans="1:10">
      <c r="A34" t="s">
        <v>512</v>
      </c>
      <c r="G34" t="s">
        <v>488</v>
      </c>
    </row>
    <row r="35" spans="1:10">
      <c r="A35" s="109" t="s">
        <v>445</v>
      </c>
      <c r="B35" s="45">
        <v>0</v>
      </c>
      <c r="C35" s="45">
        <v>5000000</v>
      </c>
      <c r="D35" s="45">
        <v>10000000</v>
      </c>
      <c r="E35" s="45">
        <v>50000000</v>
      </c>
      <c r="G35" s="30" t="s">
        <v>489</v>
      </c>
      <c r="H35" s="46">
        <v>1</v>
      </c>
      <c r="I35" s="46">
        <v>2</v>
      </c>
      <c r="J35" s="46">
        <v>3</v>
      </c>
    </row>
    <row r="36" spans="1:10">
      <c r="A36" s="110"/>
      <c r="B36" s="47">
        <v>5000000</v>
      </c>
      <c r="C36" s="47">
        <v>10000000</v>
      </c>
      <c r="D36" s="47">
        <v>50000000</v>
      </c>
      <c r="E36" s="47"/>
      <c r="G36" s="30" t="s">
        <v>490</v>
      </c>
      <c r="H36" s="43">
        <f t="array" ref="H36">LARGE((RIGHT($D$3:$D$32,2)=$G36)*$E$3:$E$32,H$35)</f>
        <v>10000000</v>
      </c>
      <c r="I36" s="43">
        <f t="array" ref="I36">LARGE((RIGHT($D$3:$D$32,2)=$G36)*$E$3:$E$32,I$35)</f>
        <v>8000000</v>
      </c>
      <c r="J36" s="43">
        <f t="array" ref="J36">LARGE((RIGHT($D$3:$D$32,2)=$G36)*$E$3:$E$32,J$35)</f>
        <v>5000000</v>
      </c>
    </row>
    <row r="37" spans="1:10">
      <c r="A37" s="30" t="s">
        <v>400</v>
      </c>
      <c r="B37" s="43">
        <v>1600</v>
      </c>
      <c r="C37" s="43">
        <v>1400</v>
      </c>
      <c r="D37" s="43">
        <v>1200</v>
      </c>
      <c r="E37" s="43">
        <v>1000</v>
      </c>
      <c r="G37" s="30" t="s">
        <v>491</v>
      </c>
      <c r="H37" s="43">
        <f t="array" ref="H37">LARGE((RIGHT($D$3:$D$32,2)=$G37)*$E$3:$E$32,H$35)</f>
        <v>4000000</v>
      </c>
      <c r="I37" s="43">
        <f t="array" ref="I37">LARGE((RIGHT($D$3:$D$32,2)=$G37)*$E$3:$E$32,I$35)</f>
        <v>3500000</v>
      </c>
      <c r="J37" s="43">
        <f t="array" ref="J37">LARGE((RIGHT($D$3:$D$32,2)=$G37)*$E$3:$E$32,J$35)</f>
        <v>3000000</v>
      </c>
    </row>
    <row r="38" spans="1:10">
      <c r="A38" s="30" t="s">
        <v>458</v>
      </c>
      <c r="B38" s="43">
        <v>1400</v>
      </c>
      <c r="C38" s="43">
        <v>1200</v>
      </c>
      <c r="D38" s="43">
        <v>1000</v>
      </c>
      <c r="E38" s="43">
        <v>800</v>
      </c>
      <c r="G38" s="30" t="s">
        <v>492</v>
      </c>
      <c r="H38" s="43">
        <f t="array" ref="H38">LARGE((RIGHT($D$3:$D$32,2)=$G38)*$E$3:$E$32,H$35)</f>
        <v>15000000</v>
      </c>
      <c r="I38" s="43">
        <f t="array" ref="I38">LARGE((RIGHT($D$3:$D$32,2)=$G38)*$E$3:$E$32,I$35)</f>
        <v>10000000</v>
      </c>
      <c r="J38" s="43">
        <f t="array" ref="J38">LARGE((RIGHT($D$3:$D$32,2)=$G38)*$E$3:$E$32,J$35)</f>
        <v>7000000</v>
      </c>
    </row>
    <row r="39" spans="1:10">
      <c r="A39" s="30" t="s">
        <v>455</v>
      </c>
      <c r="B39" s="43">
        <v>1200</v>
      </c>
      <c r="C39" s="43">
        <v>1000</v>
      </c>
      <c r="D39" s="43">
        <v>800</v>
      </c>
      <c r="E39" s="43">
        <v>600</v>
      </c>
      <c r="G39" s="30" t="s">
        <v>493</v>
      </c>
      <c r="H39" s="43">
        <f t="array" ref="H39">LARGE((RIGHT($D$3:$D$32,2)=$G39)*$E$3:$E$32,H$35)</f>
        <v>35000000</v>
      </c>
      <c r="I39" s="43">
        <f t="array" ref="I39">LARGE((RIGHT($D$3:$D$32,2)=$G39)*$E$3:$E$32,I$35)</f>
        <v>27000000</v>
      </c>
      <c r="J39" s="43">
        <f t="array" ref="J39">LARGE((RIGHT($D$3:$D$32,2)=$G39)*$E$3:$E$32,J$35)</f>
        <v>15000000</v>
      </c>
    </row>
    <row r="41" spans="1:10">
      <c r="A41" t="s">
        <v>494</v>
      </c>
    </row>
    <row r="42" spans="1:10">
      <c r="A42" s="104" t="s">
        <v>495</v>
      </c>
      <c r="B42" s="38" t="s">
        <v>422</v>
      </c>
      <c r="C42" s="38" t="s">
        <v>412</v>
      </c>
      <c r="D42" s="38" t="s">
        <v>496</v>
      </c>
      <c r="E42" s="38" t="s">
        <v>423</v>
      </c>
    </row>
    <row r="43" spans="1:10">
      <c r="A43" s="104"/>
      <c r="B43" s="30" t="s">
        <v>407</v>
      </c>
      <c r="C43" s="30" t="s">
        <v>497</v>
      </c>
      <c r="D43" s="30" t="s">
        <v>409</v>
      </c>
      <c r="E43" s="30" t="s">
        <v>421</v>
      </c>
    </row>
    <row r="44" spans="1:10">
      <c r="A44" s="30">
        <v>2020</v>
      </c>
      <c r="B44" s="30">
        <f t="array" ref="B44">COUNT(IF((YEAR($C$3:$C$32)=$A44)*(LEFT($A$3:$A$32,1)=B$43),1))</f>
        <v>1</v>
      </c>
      <c r="C44" s="30">
        <f t="array" ref="C44">COUNT(IF((YEAR($C$3:$C$32)=$A44)*(LEFT($A$3:$A$32,1)=C$43),1))</f>
        <v>1</v>
      </c>
      <c r="D44" s="30">
        <f t="array" ref="D44">COUNT(IF((YEAR($C$3:$C$32)=$A44)*(LEFT($A$3:$A$32,1)=D$43),1))</f>
        <v>1</v>
      </c>
      <c r="E44" s="30">
        <f t="array" ref="E44">COUNT(IF((YEAR($C$3:$C$32)=$A44)*(LEFT($A$3:$A$32,1)=E$43),1))</f>
        <v>0</v>
      </c>
    </row>
    <row r="45" spans="1:10">
      <c r="A45" s="30">
        <v>2021</v>
      </c>
      <c r="B45" s="30">
        <f t="array" ref="B45">COUNT(IF((YEAR($C$3:$C$32)=$A45)*(LEFT($A$3:$A$32,1)=B$43),1))</f>
        <v>2</v>
      </c>
      <c r="C45" s="30">
        <f t="array" ref="C45">COUNT(IF((YEAR($C$3:$C$32)=$A45)*(LEFT($A$3:$A$32,1)=C$43),1))</f>
        <v>4</v>
      </c>
      <c r="D45" s="30">
        <f t="array" ref="D45">COUNT(IF((YEAR($C$3:$C$32)=$A45)*(LEFT($A$3:$A$32,1)=D$43),1))</f>
        <v>4</v>
      </c>
      <c r="E45" s="30">
        <f t="array" ref="E45">COUNT(IF((YEAR($C$3:$C$32)=$A45)*(LEFT($A$3:$A$32,1)=E$43),1))</f>
        <v>2</v>
      </c>
    </row>
    <row r="46" spans="1:10">
      <c r="A46" s="30">
        <v>2022</v>
      </c>
      <c r="B46" s="30">
        <f t="array" ref="B46">COUNT(IF((YEAR($C$3:$C$32)=$A46)*(LEFT($A$3:$A$32,1)=B$43),1))</f>
        <v>5</v>
      </c>
      <c r="C46" s="30">
        <f t="array" ref="C46">COUNT(IF((YEAR($C$3:$C$32)=$A46)*(LEFT($A$3:$A$32,1)=C$43),1))</f>
        <v>1</v>
      </c>
      <c r="D46" s="30">
        <f t="array" ref="D46">COUNT(IF((YEAR($C$3:$C$32)=$A46)*(LEFT($A$3:$A$32,1)=D$43),1))</f>
        <v>4</v>
      </c>
      <c r="E46" s="30">
        <f t="array" ref="E46">COUNT(IF((YEAR($C$3:$C$32)=$A46)*(LEFT($A$3:$A$32,1)=E$43),1))</f>
        <v>5</v>
      </c>
    </row>
  </sheetData>
  <mergeCells count="2">
    <mergeCell ref="A35:A36"/>
    <mergeCell ref="A42:A4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35"/>
  <sheetViews>
    <sheetView workbookViewId="0">
      <selection activeCell="L25" sqref="L25"/>
    </sheetView>
  </sheetViews>
  <sheetFormatPr defaultRowHeight="16.5"/>
  <cols>
    <col min="1" max="1" width="11" bestFit="1" customWidth="1"/>
    <col min="2" max="2" width="21.375" bestFit="1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8">
      <c r="A1" t="s">
        <v>0</v>
      </c>
      <c r="B1" t="s">
        <v>292</v>
      </c>
    </row>
    <row r="2" spans="1:8">
      <c r="A2" s="30" t="s">
        <v>7</v>
      </c>
      <c r="B2" s="30" t="s">
        <v>293</v>
      </c>
      <c r="C2" s="30" t="s">
        <v>294</v>
      </c>
      <c r="D2" s="30" t="s">
        <v>295</v>
      </c>
      <c r="E2" s="30" t="s">
        <v>296</v>
      </c>
      <c r="F2" s="29" t="s">
        <v>297</v>
      </c>
      <c r="G2" s="29" t="s">
        <v>298</v>
      </c>
      <c r="H2" s="29" t="s">
        <v>426</v>
      </c>
    </row>
    <row r="3" spans="1:8">
      <c r="A3" s="30" t="s">
        <v>299</v>
      </c>
      <c r="B3" s="30" t="s">
        <v>300</v>
      </c>
      <c r="C3" s="6">
        <v>85</v>
      </c>
      <c r="D3" s="6">
        <v>85</v>
      </c>
      <c r="E3" s="6">
        <v>94</v>
      </c>
      <c r="F3" s="6">
        <f ca="1">SUMPRODUCT(OFFSET($A$13:$D$16,MATCH($B3,$A$13:$A$16,0)-1,1,1,3),$C3:$E3)</f>
        <v>96.2</v>
      </c>
      <c r="G3" s="30" t="str">
        <f ca="1">LOOKUP($F3,$F$14:$F$18,$G$14:$G$18)</f>
        <v>A</v>
      </c>
      <c r="H3" s="6" t="str">
        <f t="array" aca="1" ref="H3" ca="1">B3&amp; " - " &amp;SUM( IF( ($B$3:$B$10=$B3)*($F$3:$F$10&gt;$F3), 1) )+1</f>
        <v>기계공학과 - 1</v>
      </c>
    </row>
    <row r="4" spans="1:8">
      <c r="A4" s="30" t="s">
        <v>301</v>
      </c>
      <c r="B4" s="30" t="s">
        <v>302</v>
      </c>
      <c r="C4" s="6">
        <v>95</v>
      </c>
      <c r="D4" s="6">
        <v>74</v>
      </c>
      <c r="E4" s="6">
        <v>78</v>
      </c>
      <c r="F4" s="6">
        <f t="shared" ref="F4:F10" ca="1" si="0">SUMPRODUCT(OFFSET($A$13:$D$16,MATCH($B4,$A$13:$A$16,0)-1,1,1,3),$C4:$E4)</f>
        <v>81.900000000000006</v>
      </c>
      <c r="G4" s="30" t="str">
        <f t="shared" ref="G4:G10" ca="1" si="1">LOOKUP($F4,$F$14:$F$18,$G$14:$G$18)</f>
        <v>B</v>
      </c>
      <c r="H4" s="6" t="str">
        <f t="array" aca="1" ref="H4" ca="1">B4&amp; " - " &amp;SUM( IF( ($B$3:$B$10=$B4)*($F$3:$F$10&gt;$F4), 1) )+1</f>
        <v>건축학과 - 1</v>
      </c>
    </row>
    <row r="5" spans="1:8">
      <c r="A5" s="30" t="s">
        <v>262</v>
      </c>
      <c r="B5" s="30" t="s">
        <v>303</v>
      </c>
      <c r="C5" s="6">
        <v>95</v>
      </c>
      <c r="D5" s="6">
        <v>90</v>
      </c>
      <c r="E5" s="6">
        <v>97</v>
      </c>
      <c r="F5" s="6">
        <f t="shared" ca="1" si="0"/>
        <v>92.9</v>
      </c>
      <c r="G5" s="30" t="str">
        <f t="shared" ca="1" si="1"/>
        <v>A</v>
      </c>
      <c r="H5" s="6" t="str">
        <f t="array" aca="1" ref="H5" ca="1">B5&amp; " - " &amp;SUM( IF( ($B$3:$B$10=$B5)*($F$3:$F$10&gt;$F5), 1) )+1</f>
        <v>토목과 - 1</v>
      </c>
    </row>
    <row r="6" spans="1:8">
      <c r="A6" s="30" t="s">
        <v>304</v>
      </c>
      <c r="B6" s="30" t="s">
        <v>303</v>
      </c>
      <c r="C6" s="6">
        <v>100</v>
      </c>
      <c r="D6" s="6">
        <v>69</v>
      </c>
      <c r="E6" s="6">
        <v>70</v>
      </c>
      <c r="F6" s="6">
        <f t="shared" ca="1" si="0"/>
        <v>78.5</v>
      </c>
      <c r="G6" s="30" t="str">
        <f t="shared" ca="1" si="1"/>
        <v>C</v>
      </c>
      <c r="H6" s="6" t="str">
        <f t="array" aca="1" ref="H6" ca="1">B6&amp; " - " &amp;SUM( IF( ($B$3:$B$10=$B6)*($F$3:$F$10&gt;$F6), 1) )+1</f>
        <v>토목과 - 3</v>
      </c>
    </row>
    <row r="7" spans="1:8">
      <c r="A7" s="30" t="s">
        <v>305</v>
      </c>
      <c r="B7" s="30" t="s">
        <v>302</v>
      </c>
      <c r="C7" s="6">
        <v>65</v>
      </c>
      <c r="D7" s="6">
        <v>93</v>
      </c>
      <c r="E7" s="6">
        <v>82</v>
      </c>
      <c r="F7" s="6">
        <f t="shared" ca="1" si="0"/>
        <v>80.2</v>
      </c>
      <c r="G7" s="30" t="str">
        <f t="shared" ca="1" si="1"/>
        <v>B</v>
      </c>
      <c r="H7" s="6" t="str">
        <f t="array" aca="1" ref="H7" ca="1">B7&amp; " - " &amp;SUM( IF( ($B$3:$B$10=$B7)*($F$3:$F$10&gt;$F7), 1) )+1</f>
        <v>건축학과 - 2</v>
      </c>
    </row>
    <row r="8" spans="1:8">
      <c r="A8" s="30" t="s">
        <v>306</v>
      </c>
      <c r="B8" s="30" t="s">
        <v>300</v>
      </c>
      <c r="C8" s="6">
        <v>95</v>
      </c>
      <c r="D8" s="6">
        <v>60</v>
      </c>
      <c r="E8" s="6">
        <v>57</v>
      </c>
      <c r="F8" s="6">
        <f t="shared" ca="1" si="0"/>
        <v>79.099999999999994</v>
      </c>
      <c r="G8" s="30" t="str">
        <f t="shared" ca="1" si="1"/>
        <v>C</v>
      </c>
      <c r="H8" s="6" t="str">
        <f t="array" aca="1" ref="H8" ca="1">B8&amp; " - " &amp;SUM( IF( ($B$3:$B$10=$B8)*($F$3:$F$10&gt;$F8), 1) )+1</f>
        <v>기계공학과 - 2</v>
      </c>
    </row>
    <row r="9" spans="1:8">
      <c r="A9" s="30" t="s">
        <v>307</v>
      </c>
      <c r="B9" s="30" t="s">
        <v>303</v>
      </c>
      <c r="C9" s="6">
        <v>100</v>
      </c>
      <c r="D9" s="6">
        <v>91</v>
      </c>
      <c r="E9" s="6">
        <v>74</v>
      </c>
      <c r="F9" s="6">
        <f t="shared" ca="1" si="0"/>
        <v>90.3</v>
      </c>
      <c r="G9" s="30" t="str">
        <f t="shared" ca="1" si="1"/>
        <v>A</v>
      </c>
      <c r="H9" s="6" t="str">
        <f t="array" aca="1" ref="H9" ca="1">B9&amp; " - " &amp;SUM( IF( ($B$3:$B$10=$B9)*($F$3:$F$10&gt;$F9), 1) )+1</f>
        <v>토목과 - 2</v>
      </c>
    </row>
    <row r="10" spans="1:8">
      <c r="A10" s="30" t="s">
        <v>308</v>
      </c>
      <c r="B10" s="30" t="s">
        <v>302</v>
      </c>
      <c r="C10" s="6">
        <v>90</v>
      </c>
      <c r="D10" s="6">
        <v>64</v>
      </c>
      <c r="E10" s="6">
        <v>80</v>
      </c>
      <c r="F10" s="6">
        <f t="shared" ca="1" si="0"/>
        <v>78.2</v>
      </c>
      <c r="G10" s="30" t="str">
        <f t="shared" ca="1" si="1"/>
        <v>C</v>
      </c>
      <c r="H10" s="6" t="str">
        <f t="array" aca="1" ref="H10" ca="1">B10&amp; " - " &amp;SUM( IF( ($B$3:$B$10=$B10)*($F$3:$F$10&gt;$F10), 1) )+1</f>
        <v>건축학과 - 3</v>
      </c>
    </row>
    <row r="12" spans="1:8">
      <c r="A12" t="s">
        <v>309</v>
      </c>
      <c r="F12" t="s">
        <v>6</v>
      </c>
      <c r="G12" t="s">
        <v>310</v>
      </c>
    </row>
    <row r="13" spans="1:8">
      <c r="A13" s="30" t="s">
        <v>293</v>
      </c>
      <c r="B13" s="30" t="s">
        <v>294</v>
      </c>
      <c r="C13" s="30" t="s">
        <v>295</v>
      </c>
      <c r="D13" s="30" t="s">
        <v>296</v>
      </c>
      <c r="F13" s="30" t="s">
        <v>297</v>
      </c>
      <c r="G13" s="30" t="s">
        <v>298</v>
      </c>
    </row>
    <row r="14" spans="1:8">
      <c r="A14" s="30" t="s">
        <v>302</v>
      </c>
      <c r="B14" s="25">
        <v>0.3</v>
      </c>
      <c r="C14" s="25">
        <v>0.3</v>
      </c>
      <c r="D14" s="25">
        <v>0.4</v>
      </c>
      <c r="F14" s="30">
        <v>60</v>
      </c>
      <c r="G14" s="30" t="s">
        <v>311</v>
      </c>
    </row>
    <row r="15" spans="1:8">
      <c r="A15" s="30" t="s">
        <v>300</v>
      </c>
      <c r="B15" s="25">
        <v>0.4</v>
      </c>
      <c r="C15" s="25">
        <v>0.4</v>
      </c>
      <c r="D15" s="25">
        <v>0.3</v>
      </c>
      <c r="F15" s="30">
        <v>70</v>
      </c>
      <c r="G15" s="30" t="s">
        <v>312</v>
      </c>
    </row>
    <row r="16" spans="1:8">
      <c r="A16" s="30" t="s">
        <v>303</v>
      </c>
      <c r="B16" s="25">
        <v>0.3</v>
      </c>
      <c r="C16" s="25">
        <v>0.5</v>
      </c>
      <c r="D16" s="25">
        <v>0.2</v>
      </c>
      <c r="F16" s="30">
        <v>80</v>
      </c>
      <c r="G16" s="30" t="s">
        <v>164</v>
      </c>
    </row>
    <row r="17" spans="1:7">
      <c r="F17" s="30">
        <v>90</v>
      </c>
      <c r="G17" s="30" t="s">
        <v>163</v>
      </c>
    </row>
    <row r="18" spans="1:7">
      <c r="F18" s="30">
        <v>100</v>
      </c>
      <c r="G18" s="30" t="s">
        <v>313</v>
      </c>
    </row>
    <row r="19" spans="1:7">
      <c r="A19" t="s">
        <v>56</v>
      </c>
      <c r="B19" t="s">
        <v>314</v>
      </c>
    </row>
    <row r="20" spans="1:7">
      <c r="A20" s="30" t="s">
        <v>315</v>
      </c>
      <c r="B20" s="30" t="s">
        <v>316</v>
      </c>
      <c r="C20" s="30" t="s">
        <v>317</v>
      </c>
      <c r="D20" s="30" t="s">
        <v>318</v>
      </c>
      <c r="E20" s="30" t="s">
        <v>319</v>
      </c>
      <c r="F20" s="30" t="s">
        <v>320</v>
      </c>
      <c r="G20" s="29" t="s">
        <v>321</v>
      </c>
    </row>
    <row r="21" spans="1:7">
      <c r="A21" s="30" t="s">
        <v>322</v>
      </c>
      <c r="B21" s="30" t="s">
        <v>323</v>
      </c>
      <c r="C21" s="6">
        <v>34</v>
      </c>
      <c r="D21" s="9">
        <v>34000</v>
      </c>
      <c r="E21" s="9">
        <v>30</v>
      </c>
      <c r="F21" s="9">
        <v>30000</v>
      </c>
      <c r="G21" s="9">
        <f>총판매액($D21,$F21)</f>
        <v>64000</v>
      </c>
    </row>
    <row r="22" spans="1:7">
      <c r="A22" s="30" t="s">
        <v>322</v>
      </c>
      <c r="B22" s="30" t="s">
        <v>324</v>
      </c>
      <c r="C22" s="6">
        <v>34</v>
      </c>
      <c r="D22" s="9">
        <v>61200</v>
      </c>
      <c r="E22" s="9">
        <v>78</v>
      </c>
      <c r="F22" s="9">
        <v>140400</v>
      </c>
      <c r="G22" s="9">
        <f t="shared" ref="G22:G29" si="2">총판매액($D22,$F22)</f>
        <v>201600</v>
      </c>
    </row>
    <row r="23" spans="1:7">
      <c r="A23" s="30" t="s">
        <v>325</v>
      </c>
      <c r="B23" s="30" t="s">
        <v>323</v>
      </c>
      <c r="C23" s="6">
        <v>68</v>
      </c>
      <c r="D23" s="9">
        <v>68000</v>
      </c>
      <c r="E23" s="9">
        <v>50</v>
      </c>
      <c r="F23" s="9">
        <v>50000</v>
      </c>
      <c r="G23" s="9">
        <f t="shared" si="2"/>
        <v>118000</v>
      </c>
    </row>
    <row r="24" spans="1:7">
      <c r="A24" s="30" t="s">
        <v>43</v>
      </c>
      <c r="B24" s="30" t="s">
        <v>323</v>
      </c>
      <c r="C24" s="6">
        <v>70</v>
      </c>
      <c r="D24" s="9">
        <v>70000</v>
      </c>
      <c r="E24" s="9">
        <v>67</v>
      </c>
      <c r="F24" s="9">
        <v>67000</v>
      </c>
      <c r="G24" s="9">
        <f t="shared" si="2"/>
        <v>137000</v>
      </c>
    </row>
    <row r="25" spans="1:7">
      <c r="A25" s="30" t="s">
        <v>326</v>
      </c>
      <c r="B25" s="30" t="s">
        <v>327</v>
      </c>
      <c r="C25" s="6">
        <v>54</v>
      </c>
      <c r="D25" s="9">
        <v>81000</v>
      </c>
      <c r="E25" s="9">
        <v>50</v>
      </c>
      <c r="F25" s="9">
        <v>75000</v>
      </c>
      <c r="G25" s="9">
        <f t="shared" si="2"/>
        <v>156000</v>
      </c>
    </row>
    <row r="26" spans="1:7">
      <c r="A26" s="30" t="s">
        <v>43</v>
      </c>
      <c r="B26" s="30" t="s">
        <v>327</v>
      </c>
      <c r="C26" s="6">
        <v>56</v>
      </c>
      <c r="D26" s="9">
        <v>84000</v>
      </c>
      <c r="E26" s="9">
        <v>67</v>
      </c>
      <c r="F26" s="9">
        <v>100500</v>
      </c>
      <c r="G26" s="9">
        <f t="shared" si="2"/>
        <v>184500</v>
      </c>
    </row>
    <row r="27" spans="1:7">
      <c r="A27" s="30" t="s">
        <v>326</v>
      </c>
      <c r="B27" s="30" t="s">
        <v>327</v>
      </c>
      <c r="C27" s="6">
        <v>56</v>
      </c>
      <c r="D27" s="9">
        <v>84000</v>
      </c>
      <c r="E27" s="9">
        <v>56</v>
      </c>
      <c r="F27" s="9">
        <v>84000</v>
      </c>
      <c r="G27" s="9">
        <f t="shared" si="2"/>
        <v>168000</v>
      </c>
    </row>
    <row r="28" spans="1:7">
      <c r="A28" s="30" t="s">
        <v>325</v>
      </c>
      <c r="B28" s="30" t="s">
        <v>323</v>
      </c>
      <c r="C28" s="6">
        <v>85</v>
      </c>
      <c r="D28" s="9">
        <v>85000</v>
      </c>
      <c r="E28" s="9">
        <v>80</v>
      </c>
      <c r="F28" s="9">
        <v>80000</v>
      </c>
      <c r="G28" s="9">
        <f t="shared" si="2"/>
        <v>165000</v>
      </c>
    </row>
    <row r="29" spans="1:7">
      <c r="A29" s="30" t="s">
        <v>326</v>
      </c>
      <c r="B29" s="30" t="s">
        <v>323</v>
      </c>
      <c r="C29" s="6">
        <v>87</v>
      </c>
      <c r="D29" s="9">
        <v>87000</v>
      </c>
      <c r="E29" s="9">
        <v>75</v>
      </c>
      <c r="F29" s="9">
        <v>75000</v>
      </c>
      <c r="G29" s="9">
        <f t="shared" si="2"/>
        <v>162000</v>
      </c>
    </row>
    <row r="31" spans="1:7">
      <c r="A31" s="30" t="s">
        <v>315</v>
      </c>
      <c r="B31" s="29" t="s">
        <v>328</v>
      </c>
    </row>
    <row r="32" spans="1:7">
      <c r="A32" s="30" t="s">
        <v>43</v>
      </c>
      <c r="B32" s="9">
        <f t="array" ref="B32">MIN(MAX(($A$21:$A$29=$A32)*($D$21:$D$29)),MAX(($A$21:$A$29=$A32)*($F$21:$F$29)))</f>
        <v>84000</v>
      </c>
    </row>
    <row r="33" spans="1:2">
      <c r="A33" s="30" t="s">
        <v>322</v>
      </c>
      <c r="B33" s="9">
        <f t="array" ref="B33">MIN(MAX(($A$21:$A$29=$A33)*($D$21:$D$29)),MAX(($A$21:$A$29=$A33)*($F$21:$F$29)))</f>
        <v>61200</v>
      </c>
    </row>
    <row r="34" spans="1:2">
      <c r="A34" s="30" t="s">
        <v>325</v>
      </c>
      <c r="B34" s="9">
        <f t="array" ref="B34">MIN(MAX(($A$21:$A$29=$A34)*($D$21:$D$29)),MAX(($A$21:$A$29=$A34)*($F$21:$F$29)))</f>
        <v>80000</v>
      </c>
    </row>
    <row r="35" spans="1:2">
      <c r="A35" s="30" t="s">
        <v>326</v>
      </c>
      <c r="B35" s="9">
        <f t="array" ref="B35">MIN(MAX(($A$21:$A$29=$A35)*($D$21:$D$29)),MAX(($A$21:$A$29=$A35)*($F$21:$F$29)))</f>
        <v>84000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B252-B303-480C-BE60-BAA69613F719}">
  <sheetPr codeName="Sheet20"/>
  <dimension ref="A1:J35"/>
  <sheetViews>
    <sheetView workbookViewId="0">
      <selection activeCell="I12" sqref="I12"/>
    </sheetView>
  </sheetViews>
  <sheetFormatPr defaultRowHeight="16.5"/>
  <cols>
    <col min="1" max="1" width="7.75" customWidth="1"/>
    <col min="2" max="2" width="7.375" customWidth="1"/>
    <col min="4" max="4" width="11" bestFit="1" customWidth="1"/>
    <col min="5" max="5" width="9.375" bestFit="1" customWidth="1"/>
    <col min="6" max="6" width="11" bestFit="1" customWidth="1"/>
    <col min="7" max="7" width="11.125" bestFit="1" customWidth="1"/>
    <col min="8" max="8" width="11" bestFit="1" customWidth="1"/>
    <col min="9" max="9" width="9.75" bestFit="1" customWidth="1"/>
    <col min="10" max="10" width="11.125" bestFit="1" customWidth="1"/>
  </cols>
  <sheetData>
    <row r="1" spans="1:10">
      <c r="A1" s="48" t="s">
        <v>498</v>
      </c>
      <c r="B1" s="49"/>
      <c r="C1" s="49"/>
      <c r="D1" s="50"/>
      <c r="F1" t="s">
        <v>394</v>
      </c>
    </row>
    <row r="2" spans="1:10">
      <c r="A2" s="111" t="s">
        <v>417</v>
      </c>
      <c r="B2" s="112"/>
      <c r="C2" s="30" t="s">
        <v>403</v>
      </c>
      <c r="D2" s="30" t="s">
        <v>418</v>
      </c>
      <c r="F2" s="111" t="s">
        <v>417</v>
      </c>
      <c r="G2" s="112"/>
      <c r="H2" s="32" t="s">
        <v>499</v>
      </c>
    </row>
    <row r="3" spans="1:10">
      <c r="A3" s="30">
        <v>0</v>
      </c>
      <c r="B3" s="30">
        <v>200</v>
      </c>
      <c r="C3" s="9">
        <v>410</v>
      </c>
      <c r="D3" s="6">
        <v>60.7</v>
      </c>
      <c r="F3" s="51">
        <v>0</v>
      </c>
      <c r="G3" s="52">
        <v>200</v>
      </c>
      <c r="H3" s="30" t="str">
        <f t="array" ref="H3">COUNT(IF(($C$12:$C$35&lt;=$G3)*($C$12:$C$35&gt;=$F3),$A$12:$A$35)) &amp;"세대"</f>
        <v>4세대</v>
      </c>
    </row>
    <row r="4" spans="1:10">
      <c r="A4" s="30">
        <v>201</v>
      </c>
      <c r="B4" s="30">
        <v>300</v>
      </c>
      <c r="C4" s="9">
        <v>910</v>
      </c>
      <c r="D4" s="6">
        <v>125.9</v>
      </c>
      <c r="F4" s="51">
        <v>201</v>
      </c>
      <c r="G4" s="52">
        <v>300</v>
      </c>
      <c r="H4" s="30" t="str">
        <f t="array" ref="H4">COUNT(IF(($C$12:$C$35&lt;=$G4)*($C$12:$C$35&gt;=$F4),$A$12:$A$35)) &amp;"세대"</f>
        <v>10세대</v>
      </c>
    </row>
    <row r="5" spans="1:10">
      <c r="A5" s="30">
        <v>301</v>
      </c>
      <c r="B5" s="30">
        <v>400</v>
      </c>
      <c r="C5" s="9">
        <v>1600</v>
      </c>
      <c r="D5" s="6">
        <v>187.9</v>
      </c>
      <c r="F5" s="51">
        <v>301</v>
      </c>
      <c r="G5" s="52">
        <v>400</v>
      </c>
      <c r="H5" s="30" t="str">
        <f t="array" ref="H5">COUNT(IF(($C$12:$C$35&lt;=$G5)*($C$12:$C$35&gt;=$F5),$A$12:$A$35)) &amp;"세대"</f>
        <v>5세대</v>
      </c>
    </row>
    <row r="6" spans="1:10">
      <c r="A6" s="30">
        <v>401</v>
      </c>
      <c r="B6" s="30">
        <v>500</v>
      </c>
      <c r="C6" s="9">
        <v>3850</v>
      </c>
      <c r="D6" s="6">
        <v>280.60000000000002</v>
      </c>
      <c r="F6" s="51">
        <v>401</v>
      </c>
      <c r="G6" s="52">
        <v>500</v>
      </c>
      <c r="H6" s="30" t="str">
        <f t="array" ref="H6">COUNT(IF(($C$12:$C$35&lt;=$G6)*($C$12:$C$35&gt;=$F6),$A$12:$A$35)) &amp;"세대"</f>
        <v>4세대</v>
      </c>
    </row>
    <row r="7" spans="1:10">
      <c r="A7" s="30">
        <v>501</v>
      </c>
      <c r="B7" s="30">
        <v>600</v>
      </c>
      <c r="C7" s="9">
        <v>7300</v>
      </c>
      <c r="D7" s="6">
        <v>417.7</v>
      </c>
      <c r="F7" s="51">
        <v>501</v>
      </c>
      <c r="G7" s="52">
        <v>600</v>
      </c>
      <c r="H7" s="30" t="str">
        <f t="array" ref="H7">COUNT(IF(($C$12:$C$35&lt;=$G7)*($C$12:$C$35&gt;=$F7),$A$12:$A$35)) &amp;"세대"</f>
        <v>1세대</v>
      </c>
    </row>
    <row r="8" spans="1:10">
      <c r="A8" s="34"/>
      <c r="B8" s="34"/>
      <c r="C8" s="53"/>
      <c r="F8" s="113" t="s">
        <v>500</v>
      </c>
      <c r="G8" s="114"/>
      <c r="H8" s="6">
        <f t="array" ref="H8">AVERAGE(IF(($C$12:$C$35=LARGE($C$12:$C$35,{1,2,3,4})),$C$12:$C$35))</f>
        <v>490.5</v>
      </c>
    </row>
    <row r="10" spans="1:10">
      <c r="A10" t="s">
        <v>396</v>
      </c>
      <c r="I10" s="54" t="s">
        <v>501</v>
      </c>
      <c r="J10" s="55">
        <v>45071</v>
      </c>
    </row>
    <row r="11" spans="1:10">
      <c r="A11" s="30" t="s">
        <v>415</v>
      </c>
      <c r="B11" s="30" t="s">
        <v>502</v>
      </c>
      <c r="C11" s="30" t="s">
        <v>416</v>
      </c>
      <c r="D11" s="30" t="s">
        <v>503</v>
      </c>
      <c r="E11" s="30" t="s">
        <v>504</v>
      </c>
      <c r="F11" s="32" t="s">
        <v>505</v>
      </c>
      <c r="G11" s="30" t="s">
        <v>513</v>
      </c>
      <c r="H11" s="30" t="s">
        <v>506</v>
      </c>
      <c r="I11" s="32" t="s">
        <v>507</v>
      </c>
      <c r="J11" s="32" t="s">
        <v>508</v>
      </c>
    </row>
    <row r="12" spans="1:10">
      <c r="A12" s="30">
        <v>101</v>
      </c>
      <c r="B12" s="30">
        <v>1</v>
      </c>
      <c r="C12" s="30">
        <v>423</v>
      </c>
      <c r="D12" s="31">
        <v>25000</v>
      </c>
      <c r="E12" s="31">
        <v>183987.1</v>
      </c>
      <c r="F12" s="31">
        <f>MOD($C12,100)*VLOOKUP(ROUNDUP(C12,-2),$B$3:$D$7,3)</f>
        <v>6453.8</v>
      </c>
      <c r="G12" s="1">
        <v>45065</v>
      </c>
      <c r="H12" s="30">
        <v>435</v>
      </c>
      <c r="I12" s="1" t="e">
        <f t="array" ref="I12">fn비고</f>
        <v>#NAME?</v>
      </c>
      <c r="J12" s="30"/>
    </row>
    <row r="13" spans="1:10">
      <c r="A13" s="30">
        <v>102</v>
      </c>
      <c r="B13" s="30">
        <v>7</v>
      </c>
      <c r="C13" s="30">
        <v>324</v>
      </c>
      <c r="D13" s="31">
        <v>35000</v>
      </c>
      <c r="E13" s="31">
        <v>495797.31999999995</v>
      </c>
      <c r="F13" s="31">
        <f t="shared" ref="F13:F35" si="0">MOD($C13,100)*VLOOKUP(ROUNDUP(C13,-2),$B$3:$D$7,3)</f>
        <v>4509.6000000000004</v>
      </c>
      <c r="G13" s="1">
        <v>45052</v>
      </c>
      <c r="H13" s="30">
        <v>124</v>
      </c>
      <c r="I13" s="1"/>
      <c r="J13" s="30"/>
    </row>
    <row r="14" spans="1:10">
      <c r="A14" s="30">
        <v>103</v>
      </c>
      <c r="B14" s="30">
        <v>2</v>
      </c>
      <c r="C14" s="30">
        <v>222</v>
      </c>
      <c r="D14" s="31">
        <v>40000</v>
      </c>
      <c r="E14" s="31">
        <v>43313.8</v>
      </c>
      <c r="F14" s="31">
        <f t="shared" si="0"/>
        <v>2769.8</v>
      </c>
      <c r="G14" s="1">
        <v>45056</v>
      </c>
      <c r="H14" s="30">
        <v>387</v>
      </c>
      <c r="I14" s="1"/>
      <c r="J14" s="30"/>
    </row>
    <row r="15" spans="1:10">
      <c r="A15" s="30">
        <v>104</v>
      </c>
      <c r="B15" s="30">
        <v>2</v>
      </c>
      <c r="C15" s="30">
        <v>438</v>
      </c>
      <c r="D15" s="31">
        <v>25000</v>
      </c>
      <c r="E15" s="31">
        <v>190252.6</v>
      </c>
      <c r="F15" s="31">
        <f t="shared" si="0"/>
        <v>10662.800000000001</v>
      </c>
      <c r="G15" s="1">
        <v>45078</v>
      </c>
      <c r="H15" s="30">
        <v>425</v>
      </c>
      <c r="I15" s="1"/>
      <c r="J15" s="30"/>
    </row>
    <row r="16" spans="1:10">
      <c r="A16" s="30">
        <v>105</v>
      </c>
      <c r="B16" s="30">
        <v>3</v>
      </c>
      <c r="C16" s="30">
        <v>171</v>
      </c>
      <c r="D16" s="31">
        <v>35000</v>
      </c>
      <c r="E16" s="31">
        <v>3049.723</v>
      </c>
      <c r="F16" s="31">
        <f t="shared" si="0"/>
        <v>4309.7</v>
      </c>
      <c r="G16" s="1">
        <v>45047</v>
      </c>
      <c r="H16" s="30">
        <v>194</v>
      </c>
      <c r="I16" s="1"/>
      <c r="J16" s="30"/>
    </row>
    <row r="17" spans="1:10">
      <c r="A17" s="30">
        <v>106</v>
      </c>
      <c r="B17" s="30">
        <v>6</v>
      </c>
      <c r="C17" s="30">
        <v>241</v>
      </c>
      <c r="D17" s="31">
        <v>25000</v>
      </c>
      <c r="E17" s="31">
        <v>507135.12999999995</v>
      </c>
      <c r="F17" s="31">
        <f t="shared" si="0"/>
        <v>5161.9000000000005</v>
      </c>
      <c r="G17" s="1">
        <v>45073</v>
      </c>
      <c r="H17" s="30">
        <v>292</v>
      </c>
      <c r="I17" s="1"/>
      <c r="J17" s="30"/>
    </row>
    <row r="18" spans="1:10">
      <c r="A18" s="30">
        <v>201</v>
      </c>
      <c r="B18" s="30">
        <v>4</v>
      </c>
      <c r="C18" s="30">
        <v>348</v>
      </c>
      <c r="D18" s="31">
        <v>25000</v>
      </c>
      <c r="E18" s="31">
        <v>382305.7</v>
      </c>
      <c r="F18" s="31">
        <f t="shared" si="0"/>
        <v>9019.2000000000007</v>
      </c>
      <c r="G18" s="1">
        <v>45058</v>
      </c>
      <c r="H18" s="30">
        <v>500</v>
      </c>
      <c r="I18" s="1"/>
      <c r="J18" s="30"/>
    </row>
    <row r="19" spans="1:10">
      <c r="A19" s="30">
        <v>202</v>
      </c>
      <c r="B19" s="30">
        <v>6</v>
      </c>
      <c r="C19" s="30">
        <v>154</v>
      </c>
      <c r="D19" s="31">
        <v>25000</v>
      </c>
      <c r="E19" s="31">
        <v>2817.136</v>
      </c>
      <c r="F19" s="31">
        <f t="shared" si="0"/>
        <v>3277.8</v>
      </c>
      <c r="G19" s="1">
        <v>45065</v>
      </c>
      <c r="H19" s="30">
        <v>161</v>
      </c>
      <c r="I19" s="1"/>
      <c r="J19" s="30"/>
    </row>
    <row r="20" spans="1:10">
      <c r="A20" s="30">
        <v>203</v>
      </c>
      <c r="B20" s="30">
        <v>6</v>
      </c>
      <c r="C20" s="30">
        <v>363</v>
      </c>
      <c r="D20" s="31">
        <v>35000</v>
      </c>
      <c r="E20" s="31">
        <v>455114.58999999997</v>
      </c>
      <c r="F20" s="31">
        <f t="shared" si="0"/>
        <v>11837.7</v>
      </c>
      <c r="G20" s="1">
        <v>45061</v>
      </c>
      <c r="H20" s="30">
        <v>501</v>
      </c>
      <c r="I20" s="1"/>
      <c r="J20" s="30"/>
    </row>
    <row r="21" spans="1:10">
      <c r="A21" s="30">
        <v>204</v>
      </c>
      <c r="B21" s="30">
        <v>4</v>
      </c>
      <c r="C21" s="30">
        <v>476</v>
      </c>
      <c r="D21" s="31">
        <v>35000</v>
      </c>
      <c r="E21" s="31">
        <v>196183.93999999997</v>
      </c>
      <c r="F21" s="31">
        <f t="shared" si="0"/>
        <v>21325.600000000002</v>
      </c>
      <c r="G21" s="1">
        <v>45102</v>
      </c>
      <c r="H21" s="30">
        <v>252</v>
      </c>
      <c r="I21" s="1"/>
      <c r="J21" s="30"/>
    </row>
    <row r="22" spans="1:10">
      <c r="A22" s="30">
        <v>205</v>
      </c>
      <c r="B22" s="30">
        <v>7</v>
      </c>
      <c r="C22" s="30">
        <v>365</v>
      </c>
      <c r="D22" s="31">
        <v>40000</v>
      </c>
      <c r="E22" s="31">
        <v>523141.44999999995</v>
      </c>
      <c r="F22" s="31">
        <f t="shared" si="0"/>
        <v>12213.5</v>
      </c>
      <c r="G22" s="1">
        <v>45067</v>
      </c>
      <c r="H22" s="30">
        <v>542</v>
      </c>
      <c r="I22" s="1"/>
      <c r="J22" s="30"/>
    </row>
    <row r="23" spans="1:10">
      <c r="A23" s="30">
        <v>206</v>
      </c>
      <c r="B23" s="30">
        <v>3</v>
      </c>
      <c r="C23" s="30">
        <v>460</v>
      </c>
      <c r="D23" s="31">
        <v>35000</v>
      </c>
      <c r="E23" s="31">
        <v>189834.9</v>
      </c>
      <c r="F23" s="31">
        <f t="shared" si="0"/>
        <v>16836</v>
      </c>
      <c r="G23" s="1">
        <v>45088</v>
      </c>
      <c r="H23" s="30">
        <v>350</v>
      </c>
      <c r="I23" s="1"/>
      <c r="J23" s="30"/>
    </row>
    <row r="24" spans="1:10">
      <c r="A24" s="30">
        <v>301</v>
      </c>
      <c r="B24" s="30">
        <v>4</v>
      </c>
      <c r="C24" s="30">
        <v>157</v>
      </c>
      <c r="D24" s="31">
        <v>40000</v>
      </c>
      <c r="E24" s="31">
        <v>2874.5410000000002</v>
      </c>
      <c r="F24" s="31">
        <f t="shared" si="0"/>
        <v>3459.9</v>
      </c>
      <c r="G24" s="1">
        <v>45069</v>
      </c>
      <c r="H24" s="30">
        <v>230</v>
      </c>
      <c r="I24" s="1"/>
      <c r="J24" s="30"/>
    </row>
    <row r="25" spans="1:10">
      <c r="A25" s="30">
        <v>302</v>
      </c>
      <c r="B25" s="30">
        <v>2</v>
      </c>
      <c r="C25" s="30">
        <v>203</v>
      </c>
      <c r="D25" s="31">
        <v>25000</v>
      </c>
      <c r="E25" s="31">
        <v>39743.700000000004</v>
      </c>
      <c r="F25" s="31">
        <f t="shared" si="0"/>
        <v>377.70000000000005</v>
      </c>
      <c r="G25" s="1">
        <v>45056</v>
      </c>
      <c r="H25" s="30">
        <v>325</v>
      </c>
      <c r="I25" s="1"/>
      <c r="J25" s="30"/>
    </row>
    <row r="26" spans="1:10">
      <c r="A26" s="30">
        <v>303</v>
      </c>
      <c r="B26" s="30">
        <v>4</v>
      </c>
      <c r="C26" s="30">
        <v>237</v>
      </c>
      <c r="D26" s="31">
        <v>35000</v>
      </c>
      <c r="E26" s="31">
        <v>44796.330999999998</v>
      </c>
      <c r="F26" s="31">
        <f t="shared" si="0"/>
        <v>4658.3</v>
      </c>
      <c r="G26" s="1">
        <v>45063</v>
      </c>
      <c r="H26" s="30">
        <v>239</v>
      </c>
      <c r="I26" s="1"/>
      <c r="J26" s="30"/>
    </row>
    <row r="27" spans="1:10">
      <c r="A27" s="30">
        <v>304</v>
      </c>
      <c r="B27" s="30">
        <v>7</v>
      </c>
      <c r="C27" s="30">
        <v>282</v>
      </c>
      <c r="D27" s="31">
        <v>40000</v>
      </c>
      <c r="E27" s="31">
        <v>467786.25999999995</v>
      </c>
      <c r="F27" s="31">
        <f t="shared" si="0"/>
        <v>10323.800000000001</v>
      </c>
      <c r="G27" s="1">
        <v>45075</v>
      </c>
      <c r="H27" s="30">
        <v>421</v>
      </c>
      <c r="I27" s="1"/>
      <c r="J27" s="30"/>
    </row>
    <row r="28" spans="1:10">
      <c r="A28" s="30">
        <v>305</v>
      </c>
      <c r="B28" s="30">
        <v>3</v>
      </c>
      <c r="C28" s="30">
        <v>257</v>
      </c>
      <c r="D28" s="31">
        <v>25000</v>
      </c>
      <c r="E28" s="31">
        <v>188644.45499999999</v>
      </c>
      <c r="F28" s="31">
        <f t="shared" si="0"/>
        <v>7176.3</v>
      </c>
      <c r="G28" s="1">
        <v>45076</v>
      </c>
      <c r="H28" s="30">
        <v>497</v>
      </c>
      <c r="I28" s="1"/>
      <c r="J28" s="30"/>
    </row>
    <row r="29" spans="1:10">
      <c r="A29" s="30">
        <v>306</v>
      </c>
      <c r="B29" s="30">
        <v>5</v>
      </c>
      <c r="C29" s="30">
        <v>134</v>
      </c>
      <c r="D29" s="31">
        <v>35000</v>
      </c>
      <c r="E29" s="31">
        <v>2569.4560000000001</v>
      </c>
      <c r="F29" s="31">
        <f t="shared" si="0"/>
        <v>2063.8000000000002</v>
      </c>
      <c r="G29" s="1">
        <v>45054</v>
      </c>
      <c r="H29" s="30">
        <v>210</v>
      </c>
      <c r="I29" s="1"/>
      <c r="J29" s="30"/>
    </row>
    <row r="30" spans="1:10">
      <c r="A30" s="30">
        <v>401</v>
      </c>
      <c r="B30" s="30">
        <v>6</v>
      </c>
      <c r="C30" s="30">
        <v>588</v>
      </c>
      <c r="D30" s="31">
        <v>40000</v>
      </c>
      <c r="E30" s="31">
        <v>405094.83999999997</v>
      </c>
      <c r="F30" s="31">
        <f t="shared" si="0"/>
        <v>36757.599999999999</v>
      </c>
      <c r="G30" s="1">
        <v>45066</v>
      </c>
      <c r="H30" s="30">
        <v>481</v>
      </c>
      <c r="I30" s="1"/>
      <c r="J30" s="30"/>
    </row>
    <row r="31" spans="1:10">
      <c r="A31" s="30">
        <v>402</v>
      </c>
      <c r="B31" s="30">
        <v>5</v>
      </c>
      <c r="C31" s="30">
        <v>292</v>
      </c>
      <c r="D31" s="31">
        <v>25000</v>
      </c>
      <c r="E31" s="31">
        <v>200477.89599999998</v>
      </c>
      <c r="F31" s="31">
        <f t="shared" si="0"/>
        <v>11582.800000000001</v>
      </c>
      <c r="G31" s="1">
        <v>45071</v>
      </c>
      <c r="H31" s="30">
        <v>590</v>
      </c>
      <c r="I31" s="1"/>
      <c r="J31" s="30"/>
    </row>
    <row r="32" spans="1:10">
      <c r="A32" s="30">
        <v>403</v>
      </c>
      <c r="B32" s="30">
        <v>2</v>
      </c>
      <c r="C32" s="30">
        <v>220</v>
      </c>
      <c r="D32" s="31">
        <v>35000</v>
      </c>
      <c r="E32" s="31">
        <v>381880</v>
      </c>
      <c r="F32" s="31">
        <f t="shared" si="0"/>
        <v>2518</v>
      </c>
      <c r="G32" s="1">
        <v>45049</v>
      </c>
      <c r="H32" s="30">
        <v>192</v>
      </c>
      <c r="I32" s="1"/>
      <c r="J32" s="30"/>
    </row>
    <row r="33" spans="1:10">
      <c r="A33" s="30">
        <v>404</v>
      </c>
      <c r="B33" s="30">
        <v>3</v>
      </c>
      <c r="C33" s="30">
        <v>244</v>
      </c>
      <c r="D33" s="31">
        <v>35000</v>
      </c>
      <c r="E33" s="31">
        <v>183485.86</v>
      </c>
      <c r="F33" s="31">
        <f t="shared" si="0"/>
        <v>5539.6</v>
      </c>
      <c r="G33" s="1">
        <v>45076</v>
      </c>
      <c r="H33" s="30">
        <v>395</v>
      </c>
      <c r="I33" s="1"/>
      <c r="J33" s="30"/>
    </row>
    <row r="34" spans="1:10">
      <c r="A34" s="30">
        <v>405</v>
      </c>
      <c r="B34" s="30">
        <v>5</v>
      </c>
      <c r="C34" s="30">
        <v>266</v>
      </c>
      <c r="D34" s="31">
        <v>25000</v>
      </c>
      <c r="E34" s="31">
        <v>523808.37999999995</v>
      </c>
      <c r="F34" s="31">
        <f t="shared" si="0"/>
        <v>8309.4</v>
      </c>
      <c r="G34" s="1">
        <v>45067</v>
      </c>
      <c r="H34" s="30">
        <v>275</v>
      </c>
      <c r="I34" s="1"/>
      <c r="J34" s="30"/>
    </row>
    <row r="35" spans="1:10">
      <c r="A35" s="30">
        <v>406</v>
      </c>
      <c r="B35" s="30">
        <v>3</v>
      </c>
      <c r="C35" s="30">
        <v>307</v>
      </c>
      <c r="D35" s="31">
        <v>35000</v>
      </c>
      <c r="E35" s="31">
        <v>168803.70499999999</v>
      </c>
      <c r="F35" s="31">
        <f t="shared" si="0"/>
        <v>1315.3</v>
      </c>
      <c r="G35" s="1">
        <v>45057</v>
      </c>
      <c r="H35" s="30">
        <v>154</v>
      </c>
      <c r="I35" s="1"/>
      <c r="J35" s="30"/>
    </row>
  </sheetData>
  <mergeCells count="3">
    <mergeCell ref="A2:B2"/>
    <mergeCell ref="F2:G2"/>
    <mergeCell ref="F8:G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20"/>
  <sheetViews>
    <sheetView workbookViewId="0">
      <selection activeCell="G25" sqref="G25"/>
    </sheetView>
  </sheetViews>
  <sheetFormatPr defaultRowHeight="16.5"/>
  <cols>
    <col min="1" max="1" width="10.25" customWidth="1"/>
    <col min="4" max="4" width="6.25" customWidth="1"/>
    <col min="5" max="5" width="11.25" customWidth="1"/>
    <col min="6" max="6" width="15.875" bestFit="1" customWidth="1"/>
    <col min="7" max="7" width="16.5" bestFit="1" customWidth="1"/>
    <col min="8" max="8" width="12.875" customWidth="1"/>
    <col min="9" max="9" width="12.625" customWidth="1"/>
  </cols>
  <sheetData>
    <row r="1" spans="1:9">
      <c r="A1" t="s">
        <v>0</v>
      </c>
      <c r="B1" t="s">
        <v>264</v>
      </c>
      <c r="H1" t="s">
        <v>265</v>
      </c>
      <c r="I1" s="23">
        <v>45125</v>
      </c>
    </row>
    <row r="2" spans="1:9">
      <c r="A2" s="30" t="s">
        <v>266</v>
      </c>
      <c r="B2" s="30" t="s">
        <v>197</v>
      </c>
      <c r="C2" s="30" t="s">
        <v>1</v>
      </c>
      <c r="D2" s="30" t="s">
        <v>67</v>
      </c>
      <c r="E2" s="30" t="s">
        <v>267</v>
      </c>
      <c r="F2" s="29" t="s">
        <v>200</v>
      </c>
      <c r="G2" s="29" t="s">
        <v>33</v>
      </c>
      <c r="H2" s="30" t="s">
        <v>268</v>
      </c>
      <c r="I2" s="29" t="s">
        <v>269</v>
      </c>
    </row>
    <row r="3" spans="1:9">
      <c r="A3" s="30" t="s">
        <v>270</v>
      </c>
      <c r="B3" s="30" t="s">
        <v>271</v>
      </c>
      <c r="C3" s="30" t="s">
        <v>272</v>
      </c>
      <c r="D3" s="30" t="s">
        <v>84</v>
      </c>
      <c r="E3" s="24">
        <v>42139</v>
      </c>
      <c r="F3" s="6">
        <f>INT(_xlfn.DAYS($I$1,E3)/365)</f>
        <v>8</v>
      </c>
      <c r="G3" s="9">
        <f>kb기본급(E3,F3,$B$13)</f>
        <v>1400000</v>
      </c>
      <c r="H3" s="9">
        <v>640000</v>
      </c>
      <c r="I3" s="9">
        <f>_xlfn.IFS($F3&gt;=10,VLOOKUP($F3,$A$17:$B$20,2,TRUE)+0.05,$F3&gt;=5,VLOOKUP($F3,$A$17:$B$20,2,TRUE)+0.03,F3&gt;=3,VLOOKUP($F3,$A$17:$B$20,2,TRUE)+0.01,F3&lt;3,VLOOKUP($F3,$A$17:$B$20,2,TRUE)+0.03)*$G3</f>
        <v>112000</v>
      </c>
    </row>
    <row r="4" spans="1:9">
      <c r="A4" s="30" t="s">
        <v>273</v>
      </c>
      <c r="B4" s="30" t="s">
        <v>274</v>
      </c>
      <c r="C4" s="30" t="s">
        <v>5</v>
      </c>
      <c r="D4" s="30" t="s">
        <v>77</v>
      </c>
      <c r="E4" s="24">
        <v>44357</v>
      </c>
      <c r="F4" s="6">
        <f t="shared" ref="F4:F11" si="0">INT(_xlfn.DAYS($I$1,E4)/365)</f>
        <v>2</v>
      </c>
      <c r="G4" s="9">
        <f t="shared" ref="G4:G11" si="1">kb기본급(E4,F4,$B$13)</f>
        <v>900000</v>
      </c>
      <c r="H4" s="9">
        <v>375000</v>
      </c>
      <c r="I4" s="9">
        <f t="shared" ref="I4:I11" si="2">_xlfn.IFS($F4&gt;=10,VLOOKUP($F4,$A$17:$B$20,2,TRUE)+0.05,$F4&gt;=5,VLOOKUP($F4,$A$17:$B$20,2,TRUE)+0.03,F4&gt;=3,VLOOKUP($F4,$A$17:$B$20,2,TRUE)+0.01,F4&lt;3,VLOOKUP($F4,$A$17:$B$20,2,TRUE)+0.03)*$G4</f>
        <v>45000</v>
      </c>
    </row>
    <row r="5" spans="1:9">
      <c r="A5" s="30" t="s">
        <v>275</v>
      </c>
      <c r="B5" s="30" t="s">
        <v>276</v>
      </c>
      <c r="C5" s="30" t="s">
        <v>272</v>
      </c>
      <c r="D5" s="30" t="s">
        <v>81</v>
      </c>
      <c r="E5" s="24">
        <v>44489</v>
      </c>
      <c r="F5" s="6">
        <f t="shared" si="0"/>
        <v>1</v>
      </c>
      <c r="G5" s="9">
        <f t="shared" si="1"/>
        <v>850000</v>
      </c>
      <c r="H5" s="9">
        <v>200000</v>
      </c>
      <c r="I5" s="9">
        <f t="shared" si="2"/>
        <v>42500</v>
      </c>
    </row>
    <row r="6" spans="1:9">
      <c r="A6" s="30" t="s">
        <v>277</v>
      </c>
      <c r="B6" s="30" t="s">
        <v>278</v>
      </c>
      <c r="C6" s="30" t="s">
        <v>4</v>
      </c>
      <c r="D6" s="30" t="s">
        <v>84</v>
      </c>
      <c r="E6" s="24">
        <v>41351</v>
      </c>
      <c r="F6" s="6">
        <f t="shared" si="0"/>
        <v>10</v>
      </c>
      <c r="G6" s="9">
        <f t="shared" si="1"/>
        <v>1500000</v>
      </c>
      <c r="H6" s="9">
        <v>560000</v>
      </c>
      <c r="I6" s="9">
        <f t="shared" si="2"/>
        <v>195000</v>
      </c>
    </row>
    <row r="7" spans="1:9">
      <c r="A7" s="30" t="s">
        <v>279</v>
      </c>
      <c r="B7" s="30" t="s">
        <v>280</v>
      </c>
      <c r="C7" s="30" t="s">
        <v>5</v>
      </c>
      <c r="D7" s="30" t="s">
        <v>81</v>
      </c>
      <c r="E7" s="24">
        <v>44340</v>
      </c>
      <c r="F7" s="6">
        <f t="shared" si="0"/>
        <v>2</v>
      </c>
      <c r="G7" s="9">
        <f t="shared" si="1"/>
        <v>900000</v>
      </c>
      <c r="H7" s="9">
        <v>190000</v>
      </c>
      <c r="I7" s="9">
        <f t="shared" si="2"/>
        <v>45000</v>
      </c>
    </row>
    <row r="8" spans="1:9">
      <c r="A8" s="30" t="s">
        <v>281</v>
      </c>
      <c r="B8" s="30" t="s">
        <v>282</v>
      </c>
      <c r="C8" s="30" t="s">
        <v>4</v>
      </c>
      <c r="D8" s="30" t="s">
        <v>81</v>
      </c>
      <c r="E8" s="24">
        <v>43758</v>
      </c>
      <c r="F8" s="6">
        <f t="shared" si="0"/>
        <v>3</v>
      </c>
      <c r="G8" s="9">
        <f t="shared" si="1"/>
        <v>1150000</v>
      </c>
      <c r="H8" s="9">
        <v>200000</v>
      </c>
      <c r="I8" s="9">
        <f t="shared" si="2"/>
        <v>34500</v>
      </c>
    </row>
    <row r="9" spans="1:9">
      <c r="A9" s="30" t="s">
        <v>283</v>
      </c>
      <c r="B9" s="30" t="s">
        <v>284</v>
      </c>
      <c r="C9" s="30" t="s">
        <v>272</v>
      </c>
      <c r="D9" s="30" t="s">
        <v>77</v>
      </c>
      <c r="E9" s="24">
        <v>44331</v>
      </c>
      <c r="F9" s="6">
        <f t="shared" si="0"/>
        <v>2</v>
      </c>
      <c r="G9" s="9">
        <f t="shared" si="1"/>
        <v>900000</v>
      </c>
      <c r="H9" s="9">
        <v>360000</v>
      </c>
      <c r="I9" s="9">
        <f t="shared" si="2"/>
        <v>45000</v>
      </c>
    </row>
    <row r="10" spans="1:9">
      <c r="A10" s="30" t="s">
        <v>285</v>
      </c>
      <c r="B10" s="30" t="s">
        <v>286</v>
      </c>
      <c r="C10" s="30" t="s">
        <v>4</v>
      </c>
      <c r="D10" s="30" t="s">
        <v>77</v>
      </c>
      <c r="E10" s="24">
        <v>44722</v>
      </c>
      <c r="F10" s="6">
        <f t="shared" si="0"/>
        <v>1</v>
      </c>
      <c r="G10" s="9">
        <f t="shared" si="1"/>
        <v>850000</v>
      </c>
      <c r="H10" s="9">
        <v>375000</v>
      </c>
      <c r="I10" s="9">
        <f t="shared" si="2"/>
        <v>42500</v>
      </c>
    </row>
    <row r="11" spans="1:9">
      <c r="A11" s="30" t="s">
        <v>287</v>
      </c>
      <c r="B11" s="30" t="s">
        <v>288</v>
      </c>
      <c r="C11" s="30" t="s">
        <v>5</v>
      </c>
      <c r="D11" s="30" t="s">
        <v>84</v>
      </c>
      <c r="E11" s="24">
        <v>43710</v>
      </c>
      <c r="F11" s="6">
        <f t="shared" si="0"/>
        <v>3</v>
      </c>
      <c r="G11" s="9">
        <f t="shared" si="1"/>
        <v>1150000</v>
      </c>
      <c r="H11" s="9">
        <v>520000</v>
      </c>
      <c r="I11" s="9">
        <f t="shared" si="2"/>
        <v>34500</v>
      </c>
    </row>
    <row r="13" spans="1:9">
      <c r="A13" s="6" t="s">
        <v>289</v>
      </c>
      <c r="B13" s="9">
        <v>50000</v>
      </c>
      <c r="E13" t="s">
        <v>6</v>
      </c>
    </row>
    <row r="14" spans="1:9">
      <c r="E14" s="30" t="s">
        <v>1</v>
      </c>
      <c r="F14" s="29" t="s">
        <v>413</v>
      </c>
      <c r="G14" s="29" t="s">
        <v>985</v>
      </c>
    </row>
    <row r="15" spans="1:9">
      <c r="A15" t="s">
        <v>290</v>
      </c>
      <c r="E15" s="30" t="s">
        <v>272</v>
      </c>
      <c r="F15" s="9">
        <f t="array" ref="F15">_xlfn.RANK.EQ(MAX( ($C$3:$C$11=$E15)*($H$3:$H$11) ),$H$3:$H$11,0)</f>
        <v>1</v>
      </c>
      <c r="G15" s="9">
        <f t="array" ref="G15">AVERAGE(LARGE(($C$3:$C$11=E15)*$H$3:$H$11,1),LARGE(($C$3:$C$11=E15)*$H$3:$H$11,2))</f>
        <v>500000</v>
      </c>
    </row>
    <row r="16" spans="1:9">
      <c r="A16" s="30" t="s">
        <v>200</v>
      </c>
      <c r="B16" s="30" t="s">
        <v>291</v>
      </c>
      <c r="E16" s="30" t="s">
        <v>5</v>
      </c>
      <c r="F16" s="9">
        <f t="array" ref="F16">_xlfn.RANK.EQ(MAX( ($C$3:$C$11=$E16)*($H$3:$H$11) ),$H$3:$H$11,0)</f>
        <v>3</v>
      </c>
      <c r="G16" s="9">
        <f t="array" ref="G16">AVERAGE(LARGE(($C$3:$C$11=E16)*$H$3:$H$11,1),LARGE(($C$3:$C$11=E16)*$H$3:$H$11,2))</f>
        <v>447500</v>
      </c>
    </row>
    <row r="17" spans="1:7">
      <c r="A17" s="6">
        <v>1</v>
      </c>
      <c r="B17" s="6">
        <v>0.02</v>
      </c>
      <c r="E17" s="30" t="s">
        <v>4</v>
      </c>
      <c r="F17" s="9">
        <f t="array" ref="F17">_xlfn.RANK.EQ(MAX( ($C$3:$C$11=$E17)*($H$3:$H$11) ),$H$3:$H$11,0)</f>
        <v>2</v>
      </c>
      <c r="G17" s="9">
        <f t="array" ref="G17">AVERAGE(LARGE(($C$3:$C$11=E17)*$H$3:$H$11,1),LARGE(($C$3:$C$11=E17)*$H$3:$H$11,2))</f>
        <v>467500</v>
      </c>
    </row>
    <row r="18" spans="1:7">
      <c r="A18" s="6">
        <v>5</v>
      </c>
      <c r="B18" s="6">
        <v>0.05</v>
      </c>
    </row>
    <row r="19" spans="1:7">
      <c r="A19" s="6">
        <v>10</v>
      </c>
      <c r="B19" s="6">
        <v>0.08</v>
      </c>
    </row>
    <row r="20" spans="1:7">
      <c r="A20" s="6">
        <v>15</v>
      </c>
      <c r="B20" s="6">
        <v>0.13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27"/>
  <sheetViews>
    <sheetView workbookViewId="0">
      <selection activeCell="N10" sqref="N10"/>
    </sheetView>
  </sheetViews>
  <sheetFormatPr defaultRowHeight="16.5"/>
  <cols>
    <col min="2" max="2" width="14.75" bestFit="1" customWidth="1"/>
    <col min="3" max="3" width="13.125" bestFit="1" customWidth="1"/>
    <col min="4" max="4" width="8.875" bestFit="1" customWidth="1"/>
    <col min="5" max="5" width="6.875" bestFit="1" customWidth="1"/>
    <col min="6" max="6" width="10.875" bestFit="1" customWidth="1"/>
    <col min="7" max="7" width="9.5" bestFit="1" customWidth="1"/>
    <col min="8" max="8" width="11" bestFit="1" customWidth="1"/>
    <col min="9" max="9" width="11.25" bestFit="1" customWidth="1"/>
    <col min="10" max="10" width="10.875" bestFit="1" customWidth="1"/>
    <col min="11" max="11" width="12.625" bestFit="1" customWidth="1"/>
  </cols>
  <sheetData>
    <row r="1" spans="1:11">
      <c r="A1" t="s">
        <v>0</v>
      </c>
      <c r="E1" t="s">
        <v>6</v>
      </c>
      <c r="F1" t="s">
        <v>33</v>
      </c>
    </row>
    <row r="2" spans="1:11">
      <c r="A2" s="30" t="s">
        <v>224</v>
      </c>
      <c r="B2" s="29" t="s">
        <v>225</v>
      </c>
      <c r="C2" s="29" t="s">
        <v>226</v>
      </c>
      <c r="E2" s="30"/>
      <c r="F2" s="30" t="s">
        <v>71</v>
      </c>
      <c r="G2" s="30" t="s">
        <v>81</v>
      </c>
      <c r="H2" s="30" t="s">
        <v>77</v>
      </c>
      <c r="I2" s="30" t="s">
        <v>74</v>
      </c>
      <c r="J2" s="30" t="s">
        <v>84</v>
      </c>
    </row>
    <row r="3" spans="1:11">
      <c r="A3" s="30" t="s">
        <v>227</v>
      </c>
      <c r="B3" s="30" t="str">
        <f t="array" ref="B3">SUM(IF(($B$12:$B$27=A3)*(($E$12:$E$27="2호봉")+($E$12:$E$27="3호봉")),1)) &amp;"명"</f>
        <v>3명</v>
      </c>
      <c r="C3" s="95">
        <f t="array" ref="C3">MAX( IF(($B$12:$B$27=$A3), $F$12:$F$27) ) - AVERAGE( IF(($B$12:$B$27=$A3), $F$12:$F$27))</f>
        <v>574950</v>
      </c>
      <c r="E3" s="30" t="s">
        <v>228</v>
      </c>
      <c r="F3" s="9">
        <v>633400</v>
      </c>
      <c r="G3" s="9">
        <v>766300</v>
      </c>
      <c r="H3" s="9">
        <v>989200</v>
      </c>
      <c r="I3" s="9">
        <v>1250000</v>
      </c>
      <c r="J3" s="9">
        <v>1388900</v>
      </c>
    </row>
    <row r="4" spans="1:11">
      <c r="A4" s="30" t="s">
        <v>229</v>
      </c>
      <c r="B4" s="30" t="str">
        <f t="array" ref="B4">SUM(IF(($B$12:$B$27=A4)*(($E$12:$E$27="2호봉")+($E$12:$E$27="3호봉")),1)) &amp;"명"</f>
        <v>2명</v>
      </c>
      <c r="C4" s="95">
        <f t="array" ref="C4">MAX( IF(($B$12:$B$27=$A4), $F$12:$F$27) ) - AVERAGE( IF(($B$12:$B$27=$A4), $F$12:$F$27))</f>
        <v>363050</v>
      </c>
      <c r="E4" s="30" t="s">
        <v>230</v>
      </c>
      <c r="F4" s="9">
        <v>653500</v>
      </c>
      <c r="G4" s="9">
        <v>792600</v>
      </c>
      <c r="H4" s="9">
        <v>798900</v>
      </c>
      <c r="I4" s="9">
        <v>1280000</v>
      </c>
      <c r="J4" s="9">
        <v>1428900</v>
      </c>
    </row>
    <row r="5" spans="1:11">
      <c r="A5" s="30" t="s">
        <v>231</v>
      </c>
      <c r="B5" s="30" t="str">
        <f t="array" ref="B5">SUM(IF(($B$12:$B$27=A5)*(($E$12:$E$27="2호봉")+($E$12:$E$27="3호봉")),1)) &amp;"명"</f>
        <v>3명</v>
      </c>
      <c r="C5" s="95">
        <f t="array" ref="C5">MAX( IF(($B$12:$B$27=$A5), $F$12:$F$27) ) - AVERAGE( IF(($B$12:$B$27=$A5), $F$12:$F$27))</f>
        <v>105525</v>
      </c>
      <c r="E5" s="30" t="s">
        <v>232</v>
      </c>
      <c r="F5" s="9">
        <v>673600</v>
      </c>
      <c r="G5" s="9">
        <v>818900</v>
      </c>
      <c r="H5" s="9">
        <v>1020000</v>
      </c>
      <c r="I5" s="9">
        <v>1310000</v>
      </c>
      <c r="J5" s="9">
        <v>1468900</v>
      </c>
    </row>
    <row r="6" spans="1:11">
      <c r="E6" s="30" t="s">
        <v>233</v>
      </c>
      <c r="F6" s="9">
        <v>693700</v>
      </c>
      <c r="G6" s="9">
        <v>845200</v>
      </c>
      <c r="H6" s="9">
        <v>1342600</v>
      </c>
      <c r="I6" s="9">
        <v>1340000</v>
      </c>
      <c r="J6" s="9">
        <v>1508900</v>
      </c>
    </row>
    <row r="7" spans="1:11">
      <c r="E7" s="30" t="s">
        <v>234</v>
      </c>
      <c r="F7" s="9">
        <v>713800</v>
      </c>
      <c r="G7" s="9">
        <v>871500</v>
      </c>
      <c r="H7" s="9">
        <v>1465000</v>
      </c>
      <c r="I7" s="9">
        <v>1370000</v>
      </c>
      <c r="J7" s="9">
        <v>1548900</v>
      </c>
    </row>
    <row r="8" spans="1:11">
      <c r="E8" s="30" t="s">
        <v>235</v>
      </c>
      <c r="F8" s="9">
        <v>733900</v>
      </c>
      <c r="G8" s="9">
        <v>897800</v>
      </c>
      <c r="H8" s="9">
        <v>2151100</v>
      </c>
      <c r="I8" s="9">
        <v>1400000</v>
      </c>
      <c r="J8" s="9">
        <v>1588900</v>
      </c>
    </row>
    <row r="10" spans="1:11">
      <c r="A10" t="s">
        <v>56</v>
      </c>
    </row>
    <row r="11" spans="1:11">
      <c r="A11" s="30" t="s">
        <v>197</v>
      </c>
      <c r="B11" s="30" t="s">
        <v>224</v>
      </c>
      <c r="C11" s="30" t="s">
        <v>67</v>
      </c>
      <c r="D11" s="29" t="s">
        <v>32</v>
      </c>
      <c r="E11" s="30" t="s">
        <v>236</v>
      </c>
      <c r="F11" s="30" t="s">
        <v>33</v>
      </c>
      <c r="G11" s="30" t="s">
        <v>237</v>
      </c>
      <c r="H11" s="30" t="s">
        <v>238</v>
      </c>
      <c r="I11" s="30" t="s">
        <v>239</v>
      </c>
      <c r="J11" s="29" t="s">
        <v>240</v>
      </c>
      <c r="K11" s="29" t="s">
        <v>241</v>
      </c>
    </row>
    <row r="12" spans="1:11">
      <c r="A12" s="30" t="s">
        <v>242</v>
      </c>
      <c r="B12" s="30" t="s">
        <v>227</v>
      </c>
      <c r="C12" s="30" t="s">
        <v>74</v>
      </c>
      <c r="D12" s="30" t="str">
        <f>_xlfn.CONCAT(_xlfn.XMATCH($C12,$F$2:$J$2,0),"급")</f>
        <v>4급</v>
      </c>
      <c r="E12" s="30" t="s">
        <v>243</v>
      </c>
      <c r="F12" s="9">
        <v>1340000</v>
      </c>
      <c r="G12" s="9">
        <f t="shared" ref="G12:G27" si="0">100000</f>
        <v>100000</v>
      </c>
      <c r="H12" s="9">
        <v>70000</v>
      </c>
      <c r="I12" s="9">
        <v>0</v>
      </c>
      <c r="J12" s="9">
        <f>fn급여총액(F12,SUM(G12,H12,I12))</f>
        <v>1510000</v>
      </c>
      <c r="K12" s="22">
        <f>ROUND(FV(0.042/12,2*12,-J12*0.5),-3)</f>
        <v>18868000</v>
      </c>
    </row>
    <row r="13" spans="1:11">
      <c r="A13" s="30" t="s">
        <v>244</v>
      </c>
      <c r="B13" s="30" t="s">
        <v>229</v>
      </c>
      <c r="C13" s="30" t="s">
        <v>77</v>
      </c>
      <c r="D13" s="30" t="str">
        <f t="shared" ref="D13:D27" si="1">_xlfn.CONCAT(_xlfn.XMATCH($C13,$F$2:$J$2,0),"급")</f>
        <v>3급</v>
      </c>
      <c r="E13" s="30" t="s">
        <v>245</v>
      </c>
      <c r="F13" s="9">
        <v>1020000</v>
      </c>
      <c r="G13" s="9">
        <f t="shared" si="0"/>
        <v>100000</v>
      </c>
      <c r="H13" s="9">
        <v>50000</v>
      </c>
      <c r="I13" s="9">
        <v>0</v>
      </c>
      <c r="J13" s="9">
        <f t="shared" ref="J13:J27" si="2">fn급여총액(F13,SUM(G13,H13,I13))</f>
        <v>1170000</v>
      </c>
      <c r="K13" s="22">
        <f t="shared" ref="K13:K27" si="3">ROUND(FV(0.042/12,2*12,-J13*0.5),-3)</f>
        <v>14620000</v>
      </c>
    </row>
    <row r="14" spans="1:11">
      <c r="A14" s="30" t="s">
        <v>246</v>
      </c>
      <c r="B14" s="30" t="s">
        <v>227</v>
      </c>
      <c r="C14" s="30" t="s">
        <v>71</v>
      </c>
      <c r="D14" s="30" t="str">
        <f t="shared" si="1"/>
        <v>1급</v>
      </c>
      <c r="E14" s="30" t="s">
        <v>247</v>
      </c>
      <c r="F14" s="9">
        <v>653500</v>
      </c>
      <c r="G14" s="9">
        <f t="shared" si="0"/>
        <v>100000</v>
      </c>
      <c r="H14" s="9">
        <v>30000</v>
      </c>
      <c r="I14" s="9">
        <v>0</v>
      </c>
      <c r="J14" s="9">
        <f t="shared" si="2"/>
        <v>783500</v>
      </c>
      <c r="K14" s="22">
        <f t="shared" si="3"/>
        <v>9790000</v>
      </c>
    </row>
    <row r="15" spans="1:11">
      <c r="A15" s="30" t="s">
        <v>248</v>
      </c>
      <c r="B15" s="30" t="s">
        <v>231</v>
      </c>
      <c r="C15" s="30" t="s">
        <v>81</v>
      </c>
      <c r="D15" s="30" t="str">
        <f t="shared" si="1"/>
        <v>2급</v>
      </c>
      <c r="E15" s="30" t="s">
        <v>249</v>
      </c>
      <c r="F15" s="9">
        <v>897800</v>
      </c>
      <c r="G15" s="9">
        <f t="shared" si="0"/>
        <v>100000</v>
      </c>
      <c r="H15" s="9">
        <v>50000</v>
      </c>
      <c r="I15" s="9">
        <v>0</v>
      </c>
      <c r="J15" s="9">
        <f t="shared" si="2"/>
        <v>1047800</v>
      </c>
      <c r="K15" s="22">
        <f t="shared" si="3"/>
        <v>13093000</v>
      </c>
    </row>
    <row r="16" spans="1:11">
      <c r="A16" s="30" t="s">
        <v>250</v>
      </c>
      <c r="B16" s="30" t="s">
        <v>231</v>
      </c>
      <c r="C16" s="30" t="s">
        <v>77</v>
      </c>
      <c r="D16" s="30" t="str">
        <f t="shared" si="1"/>
        <v>3급</v>
      </c>
      <c r="E16" s="30" t="s">
        <v>247</v>
      </c>
      <c r="F16" s="9">
        <v>798900</v>
      </c>
      <c r="G16" s="9">
        <f t="shared" si="0"/>
        <v>100000</v>
      </c>
      <c r="H16" s="9">
        <v>70000</v>
      </c>
      <c r="I16" s="9">
        <v>0</v>
      </c>
      <c r="J16" s="9">
        <f t="shared" si="2"/>
        <v>968900</v>
      </c>
      <c r="K16" s="22">
        <f t="shared" si="3"/>
        <v>12107000</v>
      </c>
    </row>
    <row r="17" spans="1:11">
      <c r="A17" s="30" t="s">
        <v>251</v>
      </c>
      <c r="B17" s="30" t="s">
        <v>229</v>
      </c>
      <c r="C17" s="30" t="s">
        <v>81</v>
      </c>
      <c r="D17" s="30" t="str">
        <f t="shared" si="1"/>
        <v>2급</v>
      </c>
      <c r="E17" s="30" t="s">
        <v>243</v>
      </c>
      <c r="F17" s="9">
        <v>845200</v>
      </c>
      <c r="G17" s="9">
        <f t="shared" si="0"/>
        <v>100000</v>
      </c>
      <c r="H17" s="9">
        <v>30000</v>
      </c>
      <c r="I17" s="9">
        <v>0</v>
      </c>
      <c r="J17" s="9">
        <f t="shared" si="2"/>
        <v>975200</v>
      </c>
      <c r="K17" s="22">
        <f t="shared" si="3"/>
        <v>12186000</v>
      </c>
    </row>
    <row r="18" spans="1:11">
      <c r="A18" s="30" t="s">
        <v>252</v>
      </c>
      <c r="B18" s="30" t="s">
        <v>227</v>
      </c>
      <c r="C18" s="30" t="s">
        <v>71</v>
      </c>
      <c r="D18" s="30" t="str">
        <f t="shared" si="1"/>
        <v>1급</v>
      </c>
      <c r="E18" s="30" t="s">
        <v>253</v>
      </c>
      <c r="F18" s="9">
        <v>633400</v>
      </c>
      <c r="G18" s="9">
        <f t="shared" si="0"/>
        <v>100000</v>
      </c>
      <c r="H18" s="9">
        <v>30000</v>
      </c>
      <c r="I18" s="9">
        <v>0</v>
      </c>
      <c r="J18" s="9">
        <f t="shared" si="2"/>
        <v>763400</v>
      </c>
      <c r="K18" s="22">
        <f t="shared" si="3"/>
        <v>9539000</v>
      </c>
    </row>
    <row r="19" spans="1:11">
      <c r="A19" s="30" t="s">
        <v>254</v>
      </c>
      <c r="B19" s="30" t="s">
        <v>227</v>
      </c>
      <c r="C19" s="30" t="s">
        <v>84</v>
      </c>
      <c r="D19" s="30" t="str">
        <f t="shared" si="1"/>
        <v>5급</v>
      </c>
      <c r="E19" s="30" t="s">
        <v>249</v>
      </c>
      <c r="F19" s="9">
        <v>1588900</v>
      </c>
      <c r="G19" s="9">
        <f t="shared" si="0"/>
        <v>100000</v>
      </c>
      <c r="H19" s="9">
        <v>10000</v>
      </c>
      <c r="I19" s="9">
        <v>40000</v>
      </c>
      <c r="J19" s="9">
        <f t="shared" si="2"/>
        <v>1738900</v>
      </c>
      <c r="K19" s="22">
        <f t="shared" si="3"/>
        <v>21729000</v>
      </c>
    </row>
    <row r="20" spans="1:11">
      <c r="A20" s="30" t="s">
        <v>255</v>
      </c>
      <c r="B20" s="30" t="s">
        <v>229</v>
      </c>
      <c r="C20" s="30" t="s">
        <v>74</v>
      </c>
      <c r="D20" s="30" t="str">
        <f t="shared" si="1"/>
        <v>4급</v>
      </c>
      <c r="E20" s="30" t="s">
        <v>256</v>
      </c>
      <c r="F20" s="9">
        <v>1370000</v>
      </c>
      <c r="G20" s="9">
        <f t="shared" si="0"/>
        <v>100000</v>
      </c>
      <c r="H20" s="9">
        <v>70000</v>
      </c>
      <c r="I20" s="9">
        <v>0</v>
      </c>
      <c r="J20" s="9">
        <f t="shared" si="2"/>
        <v>1540000</v>
      </c>
      <c r="K20" s="22">
        <f t="shared" si="3"/>
        <v>19243000</v>
      </c>
    </row>
    <row r="21" spans="1:11">
      <c r="A21" s="30" t="s">
        <v>257</v>
      </c>
      <c r="B21" s="30" t="s">
        <v>227</v>
      </c>
      <c r="C21" s="30" t="s">
        <v>71</v>
      </c>
      <c r="D21" s="30" t="str">
        <f t="shared" si="1"/>
        <v>1급</v>
      </c>
      <c r="E21" s="30" t="s">
        <v>247</v>
      </c>
      <c r="F21" s="9">
        <v>653500</v>
      </c>
      <c r="G21" s="9">
        <f t="shared" si="0"/>
        <v>100000</v>
      </c>
      <c r="H21" s="9">
        <v>50000</v>
      </c>
      <c r="I21" s="9">
        <v>0</v>
      </c>
      <c r="J21" s="9">
        <f t="shared" si="2"/>
        <v>803500</v>
      </c>
      <c r="K21" s="22">
        <f t="shared" si="3"/>
        <v>10040000</v>
      </c>
    </row>
    <row r="22" spans="1:11">
      <c r="A22" s="30" t="s">
        <v>258</v>
      </c>
      <c r="B22" s="30" t="s">
        <v>227</v>
      </c>
      <c r="C22" s="30" t="s">
        <v>77</v>
      </c>
      <c r="D22" s="30" t="str">
        <f t="shared" si="1"/>
        <v>3급</v>
      </c>
      <c r="E22" s="30" t="s">
        <v>245</v>
      </c>
      <c r="F22" s="9">
        <v>1020000</v>
      </c>
      <c r="G22" s="9">
        <f t="shared" si="0"/>
        <v>100000</v>
      </c>
      <c r="H22" s="9">
        <v>70000</v>
      </c>
      <c r="I22" s="9">
        <v>0</v>
      </c>
      <c r="J22" s="9">
        <f t="shared" si="2"/>
        <v>1190000</v>
      </c>
      <c r="K22" s="22">
        <f t="shared" si="3"/>
        <v>14870000</v>
      </c>
    </row>
    <row r="23" spans="1:11">
      <c r="A23" s="30" t="s">
        <v>259</v>
      </c>
      <c r="B23" s="30" t="s">
        <v>229</v>
      </c>
      <c r="C23" s="30" t="s">
        <v>81</v>
      </c>
      <c r="D23" s="30" t="str">
        <f t="shared" si="1"/>
        <v>2급</v>
      </c>
      <c r="E23" s="30" t="s">
        <v>247</v>
      </c>
      <c r="F23" s="9">
        <v>792600</v>
      </c>
      <c r="G23" s="9">
        <f t="shared" si="0"/>
        <v>100000</v>
      </c>
      <c r="H23" s="9">
        <v>70000</v>
      </c>
      <c r="I23" s="9">
        <v>0</v>
      </c>
      <c r="J23" s="9">
        <f t="shared" si="2"/>
        <v>962600</v>
      </c>
      <c r="K23" s="22">
        <f t="shared" si="3"/>
        <v>12028000</v>
      </c>
    </row>
    <row r="24" spans="1:11">
      <c r="A24" s="30" t="s">
        <v>260</v>
      </c>
      <c r="B24" s="30" t="s">
        <v>231</v>
      </c>
      <c r="C24" s="30" t="s">
        <v>71</v>
      </c>
      <c r="D24" s="30" t="str">
        <f t="shared" si="1"/>
        <v>1급</v>
      </c>
      <c r="E24" s="30" t="s">
        <v>247</v>
      </c>
      <c r="F24" s="9">
        <v>653500</v>
      </c>
      <c r="G24" s="9">
        <f t="shared" si="0"/>
        <v>100000</v>
      </c>
      <c r="H24" s="9">
        <v>50000</v>
      </c>
      <c r="I24" s="9">
        <v>0</v>
      </c>
      <c r="J24" s="9">
        <f t="shared" si="2"/>
        <v>803500</v>
      </c>
      <c r="K24" s="22">
        <f t="shared" si="3"/>
        <v>10040000</v>
      </c>
    </row>
    <row r="25" spans="1:11">
      <c r="A25" s="30" t="s">
        <v>261</v>
      </c>
      <c r="B25" s="30" t="s">
        <v>227</v>
      </c>
      <c r="C25" s="30" t="s">
        <v>84</v>
      </c>
      <c r="D25" s="30" t="str">
        <f t="shared" si="1"/>
        <v>5급</v>
      </c>
      <c r="E25" s="30" t="s">
        <v>249</v>
      </c>
      <c r="F25" s="9">
        <v>1588900</v>
      </c>
      <c r="G25" s="9">
        <f t="shared" si="0"/>
        <v>100000</v>
      </c>
      <c r="H25" s="9">
        <v>10000</v>
      </c>
      <c r="I25" s="9">
        <v>300000</v>
      </c>
      <c r="J25" s="9">
        <f t="shared" si="2"/>
        <v>1998900</v>
      </c>
      <c r="K25" s="22">
        <f t="shared" si="3"/>
        <v>24978000</v>
      </c>
    </row>
    <row r="26" spans="1:11">
      <c r="A26" s="30" t="s">
        <v>262</v>
      </c>
      <c r="B26" s="30" t="s">
        <v>231</v>
      </c>
      <c r="C26" s="30" t="s">
        <v>81</v>
      </c>
      <c r="D26" s="30" t="str">
        <f t="shared" si="1"/>
        <v>2급</v>
      </c>
      <c r="E26" s="30" t="s">
        <v>245</v>
      </c>
      <c r="F26" s="9">
        <v>818900</v>
      </c>
      <c r="G26" s="9">
        <f t="shared" si="0"/>
        <v>100000</v>
      </c>
      <c r="H26" s="9">
        <v>30000</v>
      </c>
      <c r="I26" s="9">
        <v>0</v>
      </c>
      <c r="J26" s="9">
        <f t="shared" si="2"/>
        <v>948900</v>
      </c>
      <c r="K26" s="22">
        <f t="shared" si="3"/>
        <v>11857000</v>
      </c>
    </row>
    <row r="27" spans="1:11">
      <c r="A27" s="30" t="s">
        <v>263</v>
      </c>
      <c r="B27" s="30" t="s">
        <v>227</v>
      </c>
      <c r="C27" s="30" t="s">
        <v>71</v>
      </c>
      <c r="D27" s="30" t="str">
        <f t="shared" si="1"/>
        <v>1급</v>
      </c>
      <c r="E27" s="30" t="s">
        <v>253</v>
      </c>
      <c r="F27" s="9">
        <v>633400</v>
      </c>
      <c r="G27" s="9">
        <f t="shared" si="0"/>
        <v>100000</v>
      </c>
      <c r="H27" s="9">
        <v>50000</v>
      </c>
      <c r="I27" s="9">
        <v>0</v>
      </c>
      <c r="J27" s="9">
        <f t="shared" si="2"/>
        <v>783400</v>
      </c>
      <c r="K27" s="22">
        <f t="shared" si="3"/>
        <v>9789000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43"/>
  <sheetViews>
    <sheetView topLeftCell="A13" workbookViewId="0">
      <selection activeCell="E41" sqref="E41"/>
    </sheetView>
  </sheetViews>
  <sheetFormatPr defaultRowHeight="16.5"/>
  <cols>
    <col min="1" max="1" width="10" customWidth="1"/>
    <col min="2" max="2" width="12.375" customWidth="1"/>
    <col min="3" max="3" width="10.875" customWidth="1"/>
    <col min="4" max="4" width="12.75" customWidth="1"/>
    <col min="5" max="5" width="15.125" customWidth="1"/>
    <col min="7" max="7" width="13.875" customWidth="1"/>
    <col min="8" max="8" width="11.875" customWidth="1"/>
    <col min="9" max="9" width="9.625" customWidth="1"/>
  </cols>
  <sheetData>
    <row r="1" spans="1:9">
      <c r="A1" t="s">
        <v>0</v>
      </c>
    </row>
    <row r="2" spans="1:9">
      <c r="A2" s="96" t="s">
        <v>161</v>
      </c>
      <c r="B2" s="97" t="s">
        <v>162</v>
      </c>
      <c r="C2" s="97"/>
    </row>
    <row r="3" spans="1:9">
      <c r="A3" s="96"/>
      <c r="B3" s="29" t="s">
        <v>163</v>
      </c>
      <c r="C3" s="29" t="s">
        <v>164</v>
      </c>
    </row>
    <row r="4" spans="1:9">
      <c r="A4" s="30" t="s">
        <v>43</v>
      </c>
      <c r="B4" s="18">
        <f t="array" ref="B4">SUM(($D$10:$D$24=$A4)*(LEFT($B$10:$B$24,1)=B$3)*$G$10:$G$24)</f>
        <v>5000</v>
      </c>
      <c r="C4" s="18">
        <f t="array" ref="C4">SUM(($D$10:$D$24=$A4)*(LEFT($B$10:$B$24,1)=C$3)*$G$10:$G$24)</f>
        <v>9600</v>
      </c>
    </row>
    <row r="5" spans="1:9">
      <c r="A5" s="30" t="s">
        <v>38</v>
      </c>
      <c r="B5" s="18">
        <f t="array" ref="B5">SUM(($D$10:$D$24=$A5)*(LEFT($B$10:$B$24,1)=B$3)*$G$10:$G$24)</f>
        <v>12100</v>
      </c>
      <c r="C5" s="18">
        <f t="array" ref="C5">SUM(($D$10:$D$24=$A5)*(LEFT($B$10:$B$24,1)=C$3)*$G$10:$G$24)</f>
        <v>15400</v>
      </c>
    </row>
    <row r="6" spans="1:9">
      <c r="A6" s="30" t="s">
        <v>46</v>
      </c>
      <c r="B6" s="18">
        <f t="array" ref="B6">SUM(($D$10:$D$24=$A6)*(LEFT($B$10:$B$24,1)=B$3)*$G$10:$G$24)</f>
        <v>700</v>
      </c>
      <c r="C6" s="18">
        <f t="array" ref="C6">SUM(($D$10:$D$24=$A6)*(LEFT($B$10:$B$24,1)=C$3)*$G$10:$G$24)</f>
        <v>26850</v>
      </c>
    </row>
    <row r="8" spans="1:9">
      <c r="A8" t="s">
        <v>6</v>
      </c>
      <c r="B8" t="s">
        <v>165</v>
      </c>
    </row>
    <row r="9" spans="1:9">
      <c r="A9" s="30" t="s">
        <v>166</v>
      </c>
      <c r="B9" s="29" t="s">
        <v>167</v>
      </c>
      <c r="C9" s="30" t="s">
        <v>168</v>
      </c>
      <c r="D9" s="30" t="s">
        <v>169</v>
      </c>
      <c r="E9" s="30" t="s">
        <v>170</v>
      </c>
      <c r="F9" s="30" t="s">
        <v>171</v>
      </c>
      <c r="G9" s="30" t="s">
        <v>162</v>
      </c>
      <c r="H9" s="30" t="s">
        <v>172</v>
      </c>
      <c r="I9" s="29" t="s">
        <v>173</v>
      </c>
    </row>
    <row r="10" spans="1:9">
      <c r="A10" s="30" t="s">
        <v>174</v>
      </c>
      <c r="B10" s="30" t="str">
        <f>IF(VALUE(RIGHT(A10,3))&lt;=117, SUBSTITUTE(A10,"C","A"), SUBSTITUTE(A10,"C","B"))</f>
        <v>A111</v>
      </c>
      <c r="C10" s="30" t="s">
        <v>47</v>
      </c>
      <c r="D10" s="30" t="s">
        <v>46</v>
      </c>
      <c r="E10" s="19">
        <v>700000</v>
      </c>
      <c r="F10" s="20">
        <v>1E-3</v>
      </c>
      <c r="G10" s="9">
        <v>700</v>
      </c>
      <c r="H10" s="6">
        <v>10</v>
      </c>
      <c r="I10" s="30"/>
    </row>
    <row r="11" spans="1:9">
      <c r="A11" s="30" t="s">
        <v>175</v>
      </c>
      <c r="B11" s="30" t="str">
        <f t="shared" ref="B11:B24" si="0">IF(VALUE(RIGHT(A11,3))&lt;=117, SUBSTITUTE(A11,"C","A"), SUBSTITUTE(A11,"C","B"))</f>
        <v>A112</v>
      </c>
      <c r="C11" s="30" t="s">
        <v>40</v>
      </c>
      <c r="D11" s="30" t="s">
        <v>38</v>
      </c>
      <c r="E11" s="19">
        <v>1600000</v>
      </c>
      <c r="F11" s="20">
        <v>2E-3</v>
      </c>
      <c r="G11" s="9">
        <v>3200</v>
      </c>
      <c r="H11" s="6">
        <v>15</v>
      </c>
      <c r="I11" s="30"/>
    </row>
    <row r="12" spans="1:9">
      <c r="A12" s="30" t="s">
        <v>176</v>
      </c>
      <c r="B12" s="30" t="str">
        <f t="shared" si="0"/>
        <v>A113</v>
      </c>
      <c r="C12" s="30" t="s">
        <v>50</v>
      </c>
      <c r="D12" s="30" t="s">
        <v>43</v>
      </c>
      <c r="E12" s="19">
        <v>600000</v>
      </c>
      <c r="F12" s="20">
        <v>1E-3</v>
      </c>
      <c r="G12" s="9">
        <v>600</v>
      </c>
      <c r="H12" s="6">
        <v>8</v>
      </c>
      <c r="I12" s="30"/>
    </row>
    <row r="13" spans="1:9">
      <c r="A13" s="30" t="s">
        <v>177</v>
      </c>
      <c r="B13" s="30" t="str">
        <f t="shared" si="0"/>
        <v>A114</v>
      </c>
      <c r="C13" s="30" t="s">
        <v>42</v>
      </c>
      <c r="D13" s="30" t="s">
        <v>43</v>
      </c>
      <c r="E13" s="19">
        <v>2200000</v>
      </c>
      <c r="F13" s="20">
        <v>2E-3</v>
      </c>
      <c r="G13" s="9">
        <v>4400</v>
      </c>
      <c r="H13" s="6">
        <v>25</v>
      </c>
      <c r="I13" s="30"/>
    </row>
    <row r="14" spans="1:9">
      <c r="A14" s="30" t="s">
        <v>178</v>
      </c>
      <c r="B14" s="30" t="str">
        <f t="shared" si="0"/>
        <v>A115</v>
      </c>
      <c r="C14" s="30" t="s">
        <v>44</v>
      </c>
      <c r="D14" s="30" t="s">
        <v>38</v>
      </c>
      <c r="E14" s="19">
        <v>500000</v>
      </c>
      <c r="F14" s="20">
        <v>1E-3</v>
      </c>
      <c r="G14" s="9">
        <v>500</v>
      </c>
      <c r="H14" s="6">
        <v>3</v>
      </c>
      <c r="I14" s="30"/>
    </row>
    <row r="15" spans="1:9">
      <c r="A15" s="30" t="s">
        <v>179</v>
      </c>
      <c r="B15" s="30" t="str">
        <f t="shared" si="0"/>
        <v>A116</v>
      </c>
      <c r="C15" s="30" t="s">
        <v>37</v>
      </c>
      <c r="D15" s="30" t="s">
        <v>38</v>
      </c>
      <c r="E15" s="19">
        <v>2800000</v>
      </c>
      <c r="F15" s="20">
        <v>3.0000000000000001E-3</v>
      </c>
      <c r="G15" s="9">
        <v>8400</v>
      </c>
      <c r="H15" s="6">
        <v>9</v>
      </c>
      <c r="I15" s="30"/>
    </row>
    <row r="16" spans="1:9">
      <c r="A16" s="30" t="s">
        <v>180</v>
      </c>
      <c r="B16" s="30" t="str">
        <f t="shared" si="0"/>
        <v>A117</v>
      </c>
      <c r="C16" s="30" t="s">
        <v>45</v>
      </c>
      <c r="D16" s="30" t="s">
        <v>46</v>
      </c>
      <c r="E16" s="19">
        <v>300000</v>
      </c>
      <c r="F16" s="20">
        <v>0</v>
      </c>
      <c r="G16" s="9">
        <v>0</v>
      </c>
      <c r="H16" s="6">
        <v>7</v>
      </c>
      <c r="I16" s="30"/>
    </row>
    <row r="17" spans="1:11">
      <c r="A17" s="30" t="s">
        <v>181</v>
      </c>
      <c r="B17" s="30" t="str">
        <f t="shared" si="0"/>
        <v>B118</v>
      </c>
      <c r="C17" s="30" t="s">
        <v>49</v>
      </c>
      <c r="D17" s="30" t="s">
        <v>46</v>
      </c>
      <c r="E17" s="19">
        <v>3200000</v>
      </c>
      <c r="F17" s="20">
        <v>3.0000000000000001E-3</v>
      </c>
      <c r="G17" s="9">
        <v>9600</v>
      </c>
      <c r="H17" s="6">
        <v>24</v>
      </c>
      <c r="I17" s="30"/>
    </row>
    <row r="18" spans="1:11">
      <c r="A18" s="30" t="s">
        <v>182</v>
      </c>
      <c r="B18" s="30" t="str">
        <f t="shared" si="0"/>
        <v>B119</v>
      </c>
      <c r="C18" s="30" t="s">
        <v>52</v>
      </c>
      <c r="D18" s="30" t="s">
        <v>38</v>
      </c>
      <c r="E18" s="19">
        <v>1500000</v>
      </c>
      <c r="F18" s="20">
        <v>2E-3</v>
      </c>
      <c r="G18" s="9">
        <v>3000</v>
      </c>
      <c r="H18" s="6">
        <v>13</v>
      </c>
      <c r="I18" s="30"/>
    </row>
    <row r="19" spans="1:11">
      <c r="A19" s="30" t="s">
        <v>183</v>
      </c>
      <c r="B19" s="30" t="str">
        <f t="shared" si="0"/>
        <v>B120</v>
      </c>
      <c r="C19" s="30" t="s">
        <v>184</v>
      </c>
      <c r="D19" s="30" t="s">
        <v>38</v>
      </c>
      <c r="E19" s="19">
        <v>2500000</v>
      </c>
      <c r="F19" s="20">
        <v>3.0000000000000001E-3</v>
      </c>
      <c r="G19" s="9">
        <v>7500</v>
      </c>
      <c r="H19" s="6">
        <v>14</v>
      </c>
      <c r="I19" s="30"/>
    </row>
    <row r="20" spans="1:11">
      <c r="A20" s="30" t="s">
        <v>185</v>
      </c>
      <c r="B20" s="30" t="str">
        <f t="shared" si="0"/>
        <v>B121</v>
      </c>
      <c r="C20" s="30" t="s">
        <v>186</v>
      </c>
      <c r="D20" s="30" t="s">
        <v>46</v>
      </c>
      <c r="E20" s="19">
        <v>3250000</v>
      </c>
      <c r="F20" s="20">
        <v>3.0000000000000001E-3</v>
      </c>
      <c r="G20" s="9">
        <v>9750</v>
      </c>
      <c r="H20" s="6">
        <v>15</v>
      </c>
      <c r="I20" s="30"/>
    </row>
    <row r="21" spans="1:11">
      <c r="A21" s="30" t="s">
        <v>187</v>
      </c>
      <c r="B21" s="30" t="str">
        <f t="shared" si="0"/>
        <v>B122</v>
      </c>
      <c r="C21" s="30" t="s">
        <v>188</v>
      </c>
      <c r="D21" s="30" t="s">
        <v>38</v>
      </c>
      <c r="E21" s="19">
        <v>1250000</v>
      </c>
      <c r="F21" s="20">
        <v>2E-3</v>
      </c>
      <c r="G21" s="9">
        <v>2500</v>
      </c>
      <c r="H21" s="6">
        <v>16</v>
      </c>
      <c r="I21" s="30"/>
    </row>
    <row r="22" spans="1:11">
      <c r="A22" s="30" t="s">
        <v>189</v>
      </c>
      <c r="B22" s="30" t="str">
        <f t="shared" si="0"/>
        <v>B123</v>
      </c>
      <c r="C22" s="30" t="s">
        <v>190</v>
      </c>
      <c r="D22" s="30" t="s">
        <v>43</v>
      </c>
      <c r="E22" s="19">
        <v>3200000</v>
      </c>
      <c r="F22" s="20">
        <v>3.0000000000000001E-3</v>
      </c>
      <c r="G22" s="9">
        <v>9600</v>
      </c>
      <c r="H22" s="6">
        <v>17</v>
      </c>
      <c r="I22" s="30"/>
    </row>
    <row r="23" spans="1:11">
      <c r="A23" s="30" t="s">
        <v>191</v>
      </c>
      <c r="B23" s="30" t="str">
        <f t="shared" si="0"/>
        <v>B124</v>
      </c>
      <c r="C23" s="30" t="s">
        <v>192</v>
      </c>
      <c r="D23" s="30" t="s">
        <v>38</v>
      </c>
      <c r="E23" s="19">
        <v>1200000</v>
      </c>
      <c r="F23" s="20">
        <v>2E-3</v>
      </c>
      <c r="G23" s="9">
        <v>2400</v>
      </c>
      <c r="H23" s="6">
        <v>18</v>
      </c>
      <c r="I23" s="30"/>
    </row>
    <row r="24" spans="1:11">
      <c r="A24" s="30" t="s">
        <v>193</v>
      </c>
      <c r="B24" s="30" t="str">
        <f t="shared" si="0"/>
        <v>B125</v>
      </c>
      <c r="C24" s="30" t="s">
        <v>194</v>
      </c>
      <c r="D24" s="30" t="s">
        <v>46</v>
      </c>
      <c r="E24" s="19">
        <v>2500000</v>
      </c>
      <c r="F24" s="20">
        <v>3.0000000000000001E-3</v>
      </c>
      <c r="G24" s="9">
        <v>7500</v>
      </c>
      <c r="H24" s="6">
        <v>19</v>
      </c>
      <c r="I24" s="30"/>
    </row>
    <row r="27" spans="1:11">
      <c r="A27" t="s">
        <v>56</v>
      </c>
      <c r="B27" t="s">
        <v>195</v>
      </c>
    </row>
    <row r="28" spans="1:11">
      <c r="A28" s="30" t="s">
        <v>196</v>
      </c>
      <c r="B28" s="30" t="s">
        <v>197</v>
      </c>
      <c r="C28" s="30" t="s">
        <v>198</v>
      </c>
      <c r="D28" s="30" t="s">
        <v>33</v>
      </c>
      <c r="E28" s="30" t="s">
        <v>199</v>
      </c>
      <c r="F28" s="30" t="s">
        <v>200</v>
      </c>
      <c r="G28" s="30" t="s">
        <v>201</v>
      </c>
      <c r="H28" s="29" t="s">
        <v>54</v>
      </c>
    </row>
    <row r="29" spans="1:11">
      <c r="A29" s="6" t="s">
        <v>202</v>
      </c>
      <c r="B29" s="6" t="s">
        <v>203</v>
      </c>
      <c r="C29" s="6" t="s">
        <v>204</v>
      </c>
      <c r="D29" s="9">
        <v>2100000</v>
      </c>
      <c r="E29" s="6">
        <v>70</v>
      </c>
      <c r="F29" s="6">
        <v>20</v>
      </c>
      <c r="G29" s="6">
        <v>7</v>
      </c>
      <c r="H29" s="9"/>
    </row>
    <row r="30" spans="1:11">
      <c r="A30" s="6" t="s">
        <v>205</v>
      </c>
      <c r="B30" s="6" t="s">
        <v>206</v>
      </c>
      <c r="C30" s="6" t="s">
        <v>207</v>
      </c>
      <c r="D30" s="9">
        <v>1500000</v>
      </c>
      <c r="E30" s="6">
        <v>80</v>
      </c>
      <c r="F30" s="6">
        <v>4</v>
      </c>
      <c r="G30" s="6">
        <v>1</v>
      </c>
      <c r="H30" s="9"/>
    </row>
    <row r="31" spans="1:11">
      <c r="A31" s="6" t="s">
        <v>208</v>
      </c>
      <c r="B31" s="6" t="s">
        <v>209</v>
      </c>
      <c r="C31" s="6" t="s">
        <v>210</v>
      </c>
      <c r="D31" s="9">
        <v>1200000</v>
      </c>
      <c r="E31" s="6">
        <v>75</v>
      </c>
      <c r="F31" s="6">
        <v>2</v>
      </c>
      <c r="G31" s="6">
        <v>1</v>
      </c>
      <c r="H31" s="9"/>
      <c r="J31" t="s">
        <v>28</v>
      </c>
    </row>
    <row r="32" spans="1:11">
      <c r="A32" s="6" t="s">
        <v>202</v>
      </c>
      <c r="B32" s="6" t="s">
        <v>211</v>
      </c>
      <c r="C32" s="6" t="s">
        <v>212</v>
      </c>
      <c r="D32" s="9">
        <v>1800000</v>
      </c>
      <c r="E32" s="6">
        <v>74</v>
      </c>
      <c r="F32" s="6">
        <v>10</v>
      </c>
      <c r="G32" s="6">
        <v>5</v>
      </c>
      <c r="H32" s="9"/>
      <c r="J32" s="30" t="s">
        <v>213</v>
      </c>
      <c r="K32" s="6" t="s">
        <v>214</v>
      </c>
    </row>
    <row r="33" spans="1:11">
      <c r="A33" s="6" t="s">
        <v>205</v>
      </c>
      <c r="B33" s="6" t="s">
        <v>215</v>
      </c>
      <c r="C33" s="6" t="s">
        <v>216</v>
      </c>
      <c r="D33" s="9">
        <v>2400000</v>
      </c>
      <c r="E33" s="6">
        <v>60</v>
      </c>
      <c r="F33" s="6">
        <v>23</v>
      </c>
      <c r="G33" s="6">
        <v>7</v>
      </c>
      <c r="H33" s="9"/>
      <c r="J33" s="30">
        <v>70</v>
      </c>
      <c r="K33" s="21">
        <v>0</v>
      </c>
    </row>
    <row r="34" spans="1:11">
      <c r="A34" s="6" t="s">
        <v>208</v>
      </c>
      <c r="B34" s="6" t="s">
        <v>217</v>
      </c>
      <c r="C34" s="6" t="s">
        <v>218</v>
      </c>
      <c r="D34" s="9">
        <v>2600000</v>
      </c>
      <c r="E34" s="6">
        <v>59</v>
      </c>
      <c r="F34" s="6">
        <v>35</v>
      </c>
      <c r="G34" s="6">
        <v>7</v>
      </c>
      <c r="H34" s="9"/>
      <c r="J34" s="30">
        <v>80</v>
      </c>
      <c r="K34" s="21">
        <v>0.1</v>
      </c>
    </row>
    <row r="35" spans="1:11">
      <c r="A35" s="6" t="s">
        <v>202</v>
      </c>
      <c r="B35" s="6" t="s">
        <v>219</v>
      </c>
      <c r="C35" s="6" t="s">
        <v>220</v>
      </c>
      <c r="D35" s="9">
        <v>1700000</v>
      </c>
      <c r="E35" s="6">
        <v>64</v>
      </c>
      <c r="F35" s="6">
        <v>8</v>
      </c>
      <c r="G35" s="6">
        <v>3</v>
      </c>
      <c r="H35" s="9"/>
      <c r="J35" s="30">
        <v>90</v>
      </c>
      <c r="K35" s="21">
        <v>0.2</v>
      </c>
    </row>
    <row r="36" spans="1:11">
      <c r="A36" s="6" t="s">
        <v>205</v>
      </c>
      <c r="B36" s="6" t="s">
        <v>221</v>
      </c>
      <c r="C36" s="6" t="s">
        <v>222</v>
      </c>
      <c r="D36" s="9">
        <v>1750000</v>
      </c>
      <c r="E36" s="6">
        <v>78</v>
      </c>
      <c r="F36" s="6">
        <v>9</v>
      </c>
      <c r="G36" s="6">
        <v>3</v>
      </c>
      <c r="H36" s="9"/>
      <c r="J36" s="30">
        <v>100</v>
      </c>
      <c r="K36" s="21">
        <v>0.3</v>
      </c>
    </row>
    <row r="38" spans="1:11">
      <c r="A38" t="s">
        <v>428</v>
      </c>
    </row>
    <row r="39" spans="1:11">
      <c r="A39" s="98" t="s">
        <v>401</v>
      </c>
      <c r="B39" s="35">
        <v>0</v>
      </c>
      <c r="C39" s="35">
        <v>20</v>
      </c>
    </row>
    <row r="40" spans="1:11">
      <c r="A40" s="98"/>
      <c r="B40" s="36">
        <v>20</v>
      </c>
      <c r="C40" s="36">
        <v>40</v>
      </c>
    </row>
    <row r="41" spans="1:11">
      <c r="A41" s="30" t="s">
        <v>202</v>
      </c>
      <c r="B41" s="6">
        <f t="array" ref="B41">IFERROR(INT(AVERAGE(IF(($A$29:$A$36=$A41)*( MAX(($A$29:$A$36=$A41)*($E$29:$E$36))&lt;&gt;$E$29:$E$36 )*($F$29:$F$36&lt;B$40),$E$29:$E$36))),"")</f>
        <v>64</v>
      </c>
      <c r="C41" s="6">
        <f t="array" ref="C41">IFERROR(INT(AVERAGE(IF(($A$29:$A$36=$A41)*( MAX(($A$29:$A$36=$A41)*($E$29:$E$36))&lt;&gt;$E$29:$E$36 )*($F$29:$F$36&lt;C$40),$E$29:$E$36))),"")</f>
        <v>67</v>
      </c>
    </row>
    <row r="42" spans="1:11">
      <c r="A42" s="30" t="s">
        <v>205</v>
      </c>
      <c r="B42" s="6">
        <f t="array" ref="B42">IFERROR(INT(AVERAGE(IF(($A$29:$A$36=$A42)*( MAX(($A$29:$A$36=$A42)*($E$29:$E$36))&lt;&gt;$E$29:$E$36 )*($F$29:$F$36&lt;B$40),$E$29:$E$36))),"")</f>
        <v>78</v>
      </c>
      <c r="C42" s="6">
        <f t="array" ref="C42">IFERROR(INT(AVERAGE(IF(($A$29:$A$36=$A42)*( MAX(($A$29:$A$36=$A42)*($E$29:$E$36))&lt;&gt;$E$29:$E$36 )*($F$29:$F$36&lt;C$40),$E$29:$E$36))),"")</f>
        <v>69</v>
      </c>
    </row>
    <row r="43" spans="1:11">
      <c r="A43" s="30" t="s">
        <v>208</v>
      </c>
      <c r="B43" s="6" t="str">
        <f t="array" ref="B43">IFERROR(INT(AVERAGE(IF(($A$29:$A$36=$A43)*( MAX(($A$29:$A$36=$A43)*($E$29:$E$36))&lt;&gt;$E$29:$E$36 )*($F$29:$F$36&lt;B$40),$E$29:$E$36))),"")</f>
        <v/>
      </c>
      <c r="C43" s="6">
        <f t="array" ref="C43">IFERROR(INT(AVERAGE(IF(($A$29:$A$36=$A43)*( MAX(($A$29:$A$36=$A43)*($E$29:$E$36))&lt;&gt;$E$29:$E$36 )*($F$29:$F$36&lt;C$40),$E$29:$E$36))),"")</f>
        <v>59</v>
      </c>
    </row>
  </sheetData>
  <mergeCells count="3">
    <mergeCell ref="A2:A3"/>
    <mergeCell ref="B2:C2"/>
    <mergeCell ref="A39:A40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26"/>
  <sheetViews>
    <sheetView workbookViewId="0">
      <selection activeCell="F26" sqref="F26"/>
    </sheetView>
  </sheetViews>
  <sheetFormatPr defaultRowHeight="16.5"/>
  <cols>
    <col min="1" max="1" width="7.75" bestFit="1" customWidth="1"/>
    <col min="2" max="2" width="16.5" bestFit="1" customWidth="1"/>
    <col min="3" max="3" width="11.125" bestFit="1" customWidth="1"/>
    <col min="4" max="4" width="15.875" bestFit="1" customWidth="1"/>
    <col min="5" max="5" width="11.125" customWidth="1"/>
  </cols>
  <sheetData>
    <row r="1" spans="1:6">
      <c r="A1" t="s">
        <v>0</v>
      </c>
    </row>
    <row r="2" spans="1:6">
      <c r="A2" s="30" t="s">
        <v>7</v>
      </c>
      <c r="B2" s="30" t="s">
        <v>122</v>
      </c>
      <c r="C2" s="30" t="s">
        <v>9</v>
      </c>
      <c r="D2" s="30" t="s">
        <v>440</v>
      </c>
      <c r="E2" s="29" t="s">
        <v>123</v>
      </c>
      <c r="F2" s="29" t="s">
        <v>124</v>
      </c>
    </row>
    <row r="3" spans="1:6">
      <c r="A3" s="30" t="s">
        <v>125</v>
      </c>
      <c r="B3" s="30" t="s">
        <v>126</v>
      </c>
      <c r="C3" s="1">
        <v>29495</v>
      </c>
      <c r="D3" s="30" t="s">
        <v>127</v>
      </c>
      <c r="E3" s="16">
        <f t="shared" ref="E3:E8" si="0">_xlfn.SWITCH(LEFT(D3,1),"1",30000,"2",60000,"3",80000,"4",100000,"5",120000,0)</f>
        <v>100000</v>
      </c>
      <c r="F3" s="30" t="str">
        <f t="shared" ref="F3:F8" si="1">IF(AND(OR(LEFT(B3,3)="서울시",LEFT(B3,3)="부천시",LEFT(B3,3)="안양시"),YEAR(C3)&lt;=1981),"A조","B조")</f>
        <v>A조</v>
      </c>
    </row>
    <row r="4" spans="1:6">
      <c r="A4" s="30" t="s">
        <v>128</v>
      </c>
      <c r="B4" s="30" t="s">
        <v>129</v>
      </c>
      <c r="C4" s="1">
        <v>30458</v>
      </c>
      <c r="D4" s="30" t="s">
        <v>130</v>
      </c>
      <c r="E4" s="16">
        <f t="shared" si="0"/>
        <v>80000</v>
      </c>
      <c r="F4" s="30" t="str">
        <f t="shared" si="1"/>
        <v>B조</v>
      </c>
    </row>
    <row r="5" spans="1:6">
      <c r="A5" s="30" t="s">
        <v>131</v>
      </c>
      <c r="B5" s="30" t="s">
        <v>132</v>
      </c>
      <c r="C5" s="1">
        <v>29681</v>
      </c>
      <c r="D5" s="30" t="s">
        <v>133</v>
      </c>
      <c r="E5" s="16">
        <f t="shared" si="0"/>
        <v>120000</v>
      </c>
      <c r="F5" s="30" t="str">
        <f t="shared" si="1"/>
        <v>A조</v>
      </c>
    </row>
    <row r="6" spans="1:6">
      <c r="A6" s="30" t="s">
        <v>134</v>
      </c>
      <c r="B6" s="30" t="s">
        <v>135</v>
      </c>
      <c r="C6" s="1">
        <v>32182</v>
      </c>
      <c r="D6" s="30" t="s">
        <v>136</v>
      </c>
      <c r="E6" s="16">
        <f t="shared" si="0"/>
        <v>60000</v>
      </c>
      <c r="F6" s="30" t="str">
        <f t="shared" si="1"/>
        <v>B조</v>
      </c>
    </row>
    <row r="7" spans="1:6">
      <c r="A7" s="30" t="s">
        <v>137</v>
      </c>
      <c r="B7" s="30" t="s">
        <v>138</v>
      </c>
      <c r="C7" s="1">
        <v>28962</v>
      </c>
      <c r="D7" s="30" t="s">
        <v>441</v>
      </c>
      <c r="E7" s="16">
        <f t="shared" si="0"/>
        <v>0</v>
      </c>
      <c r="F7" s="30" t="str">
        <f t="shared" si="1"/>
        <v>A조</v>
      </c>
    </row>
    <row r="8" spans="1:6">
      <c r="A8" s="30" t="s">
        <v>139</v>
      </c>
      <c r="B8" s="30" t="s">
        <v>140</v>
      </c>
      <c r="C8" s="1">
        <v>34171</v>
      </c>
      <c r="D8" s="30" t="s">
        <v>442</v>
      </c>
      <c r="E8" s="16">
        <f t="shared" si="0"/>
        <v>30000</v>
      </c>
      <c r="F8" s="30" t="str">
        <f t="shared" si="1"/>
        <v>B조</v>
      </c>
    </row>
    <row r="10" spans="1:6">
      <c r="A10" t="s">
        <v>394</v>
      </c>
    </row>
    <row r="11" spans="1:6">
      <c r="A11" s="30" t="s">
        <v>141</v>
      </c>
      <c r="B11" s="30" t="s">
        <v>142</v>
      </c>
      <c r="C11" s="30" t="s">
        <v>143</v>
      </c>
      <c r="D11" s="30" t="s">
        <v>144</v>
      </c>
      <c r="E11" s="29" t="s">
        <v>145</v>
      </c>
      <c r="F11" s="30" t="s">
        <v>146</v>
      </c>
    </row>
    <row r="12" spans="1:6">
      <c r="A12" s="6" t="s">
        <v>147</v>
      </c>
      <c r="B12" s="6" t="s">
        <v>148</v>
      </c>
      <c r="C12" s="6">
        <v>60</v>
      </c>
      <c r="D12" s="6">
        <v>9</v>
      </c>
      <c r="E12" s="17">
        <f>hs사용요금(C12,D12)</f>
        <v>127500</v>
      </c>
      <c r="F12" s="17">
        <v>35000</v>
      </c>
    </row>
    <row r="13" spans="1:6">
      <c r="A13" s="6" t="s">
        <v>149</v>
      </c>
      <c r="B13" s="6" t="s">
        <v>150</v>
      </c>
      <c r="C13" s="6">
        <v>30</v>
      </c>
      <c r="D13" s="6">
        <v>5</v>
      </c>
      <c r="E13" s="17">
        <f t="shared" ref="E13:E20" si="2">hs사용요금(C13,D13)</f>
        <v>62500</v>
      </c>
      <c r="F13" s="17">
        <v>20000</v>
      </c>
    </row>
    <row r="14" spans="1:6">
      <c r="A14" s="6" t="s">
        <v>151</v>
      </c>
      <c r="B14" s="6" t="s">
        <v>152</v>
      </c>
      <c r="C14" s="6">
        <v>14</v>
      </c>
      <c r="D14" s="6">
        <v>3</v>
      </c>
      <c r="E14" s="17">
        <f t="shared" si="2"/>
        <v>33000</v>
      </c>
      <c r="F14" s="17">
        <v>50000</v>
      </c>
    </row>
    <row r="15" spans="1:6">
      <c r="A15" s="6" t="s">
        <v>153</v>
      </c>
      <c r="B15" s="6" t="s">
        <v>150</v>
      </c>
      <c r="C15" s="6">
        <v>30</v>
      </c>
      <c r="D15" s="6">
        <v>5</v>
      </c>
      <c r="E15" s="17">
        <f t="shared" si="2"/>
        <v>62500</v>
      </c>
      <c r="F15" s="17">
        <v>25000</v>
      </c>
    </row>
    <row r="16" spans="1:6">
      <c r="A16" s="6" t="s">
        <v>154</v>
      </c>
      <c r="B16" s="6" t="s">
        <v>148</v>
      </c>
      <c r="C16" s="6">
        <v>28</v>
      </c>
      <c r="D16" s="6">
        <v>5</v>
      </c>
      <c r="E16" s="17">
        <f t="shared" si="2"/>
        <v>69000</v>
      </c>
      <c r="F16" s="17">
        <v>50000</v>
      </c>
    </row>
    <row r="17" spans="1:6">
      <c r="A17" s="6" t="s">
        <v>155</v>
      </c>
      <c r="B17" s="6" t="s">
        <v>148</v>
      </c>
      <c r="C17" s="6">
        <v>25</v>
      </c>
      <c r="D17" s="6">
        <v>5</v>
      </c>
      <c r="E17" s="17">
        <f t="shared" si="2"/>
        <v>60000</v>
      </c>
      <c r="F17" s="17">
        <v>50000</v>
      </c>
    </row>
    <row r="18" spans="1:6">
      <c r="A18" s="6" t="s">
        <v>156</v>
      </c>
      <c r="B18" s="6" t="s">
        <v>152</v>
      </c>
      <c r="C18" s="6">
        <v>15</v>
      </c>
      <c r="D18" s="6">
        <v>3</v>
      </c>
      <c r="E18" s="17">
        <f t="shared" si="2"/>
        <v>36000</v>
      </c>
      <c r="F18" s="17">
        <v>35000</v>
      </c>
    </row>
    <row r="19" spans="1:6">
      <c r="A19" s="6" t="s">
        <v>157</v>
      </c>
      <c r="B19" s="6" t="s">
        <v>150</v>
      </c>
      <c r="C19" s="6">
        <v>23</v>
      </c>
      <c r="D19" s="6">
        <v>4</v>
      </c>
      <c r="E19" s="17">
        <f t="shared" si="2"/>
        <v>57000</v>
      </c>
      <c r="F19" s="17">
        <v>20000</v>
      </c>
    </row>
    <row r="20" spans="1:6">
      <c r="A20" s="6" t="s">
        <v>158</v>
      </c>
      <c r="B20" s="6" t="s">
        <v>152</v>
      </c>
      <c r="C20" s="6">
        <v>54</v>
      </c>
      <c r="D20" s="6">
        <v>8</v>
      </c>
      <c r="E20" s="17">
        <f t="shared" si="2"/>
        <v>115000</v>
      </c>
      <c r="F20" s="17">
        <v>50000</v>
      </c>
    </row>
    <row r="22" spans="1:6">
      <c r="A22" t="s">
        <v>396</v>
      </c>
    </row>
    <row r="23" spans="1:6">
      <c r="A23" s="6" t="s">
        <v>142</v>
      </c>
      <c r="B23" s="29" t="s">
        <v>159</v>
      </c>
      <c r="D23" s="29" t="s">
        <v>160</v>
      </c>
    </row>
    <row r="24" spans="1:6">
      <c r="A24" s="6" t="s">
        <v>148</v>
      </c>
      <c r="B24" s="31">
        <f t="array" ref="B24">MEDIAN(IF(($B$12:$B$20=A24),$F$12:$F$20))</f>
        <v>50000</v>
      </c>
      <c r="D24" s="17">
        <f t="array" ref="D24">MIN(IF(($B$12:$B$20=$A24)*($C$12:$C$20&gt;=20),$E$12:$E$20))</f>
        <v>60000</v>
      </c>
    </row>
    <row r="25" spans="1:6">
      <c r="A25" s="6" t="s">
        <v>150</v>
      </c>
      <c r="B25" s="31">
        <f t="array" ref="B25">MEDIAN(IF(($B$12:$B$20=A25),$F$12:$F$20))</f>
        <v>20000</v>
      </c>
      <c r="E25" s="93"/>
    </row>
    <row r="26" spans="1:6">
      <c r="A26" s="6" t="s">
        <v>152</v>
      </c>
      <c r="B26" s="31">
        <f t="array" ref="B26">MEDIAN(IF(($B$12:$B$20=A26),$F$12:$F$20))</f>
        <v>50000</v>
      </c>
      <c r="F26">
        <f>ABS(MEDIAN($F$12:$F$20))</f>
        <v>35000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K29"/>
  <sheetViews>
    <sheetView workbookViewId="0">
      <selection activeCell="H16" sqref="H16:H20"/>
    </sheetView>
  </sheetViews>
  <sheetFormatPr defaultRowHeight="16.5"/>
  <cols>
    <col min="4" max="4" width="16" bestFit="1" customWidth="1"/>
    <col min="8" max="8" width="15.875" customWidth="1"/>
  </cols>
  <sheetData>
    <row r="1" spans="1:11">
      <c r="A1" t="s">
        <v>0</v>
      </c>
      <c r="G1" t="s">
        <v>56</v>
      </c>
      <c r="H1" s="11" t="s">
        <v>60</v>
      </c>
      <c r="K1" t="s">
        <v>61</v>
      </c>
    </row>
    <row r="2" spans="1:11">
      <c r="A2" s="30" t="s">
        <v>62</v>
      </c>
      <c r="B2" s="29" t="s">
        <v>63</v>
      </c>
      <c r="C2" s="29" t="s">
        <v>64</v>
      </c>
      <c r="D2" s="29" t="s">
        <v>65</v>
      </c>
      <c r="E2" s="34"/>
      <c r="G2" s="30" t="s">
        <v>66</v>
      </c>
      <c r="H2" s="30" t="s">
        <v>67</v>
      </c>
      <c r="I2" s="30" t="s">
        <v>33</v>
      </c>
      <c r="J2" s="29" t="s">
        <v>986</v>
      </c>
      <c r="K2" s="29" t="s">
        <v>68</v>
      </c>
    </row>
    <row r="3" spans="1:11">
      <c r="A3" s="30" t="s">
        <v>69</v>
      </c>
      <c r="B3" s="30" t="str">
        <f t="array" ref="B3">SUM(($A$10:$A$29=$A3)*($B$10:$B$29=B$2)*1)&amp;"명"</f>
        <v>1명</v>
      </c>
      <c r="C3" s="30" t="str">
        <f t="array" ref="C3">SUM(($A$10:$A$29=$A3)*($B$10:$B$29=C$2)*1)&amp;"명"</f>
        <v>3명</v>
      </c>
      <c r="D3" s="6">
        <f t="array" ref="D3">_xlfn.PERCENTILE.INC(IF(($A$10:$A$29=$A3),$E$10:$E$29),0.5)</f>
        <v>87.5</v>
      </c>
      <c r="E3" s="34"/>
      <c r="G3" s="30" t="s">
        <v>70</v>
      </c>
      <c r="H3" s="30" t="s">
        <v>71</v>
      </c>
      <c r="I3" s="31">
        <v>1000</v>
      </c>
      <c r="J3" s="12">
        <f>_xlfn.IFS(H3="부장",10%,H3="과장",8%,H3="차장",6%,H3="대리",5%,H3="사원",3%)</f>
        <v>0.03</v>
      </c>
      <c r="K3" s="13">
        <f>fn지급액(I3,J3)</f>
        <v>1030</v>
      </c>
    </row>
    <row r="4" spans="1:11">
      <c r="A4" s="30" t="s">
        <v>72</v>
      </c>
      <c r="B4" s="30" t="str">
        <f t="array" ref="B4">SUM(($A$10:$A$29=$A4)*($B$10:$B$29=B$2)*1)&amp;"명"</f>
        <v>2명</v>
      </c>
      <c r="C4" s="30" t="str">
        <f t="array" ref="C4">SUM(($A$10:$A$29=$A4)*($B$10:$B$29=C$2)*1)&amp;"명"</f>
        <v>4명</v>
      </c>
      <c r="D4" s="6">
        <f t="array" ref="D4">_xlfn.PERCENTILE.INC(IF(($A$10:$A$29=$A4),$E$10:$E$29),0.5)</f>
        <v>86.5</v>
      </c>
      <c r="E4" s="34"/>
      <c r="G4" s="30" t="s">
        <v>73</v>
      </c>
      <c r="H4" s="30" t="s">
        <v>74</v>
      </c>
      <c r="I4" s="31">
        <v>1500</v>
      </c>
      <c r="J4" s="12">
        <f t="shared" ref="J4:J11" si="0">_xlfn.IFS(H4="부장",10%,H4="과장",8%,H4="차장",6%,H4="대리",5%,H4="사원",3%)</f>
        <v>0.06</v>
      </c>
      <c r="K4" s="13">
        <f t="shared" ref="K4:K11" si="1">fn지급액(I4,J4)</f>
        <v>1590</v>
      </c>
    </row>
    <row r="5" spans="1:11">
      <c r="A5" s="30" t="s">
        <v>75</v>
      </c>
      <c r="B5" s="30" t="str">
        <f t="array" ref="B5">SUM(($A$10:$A$29=$A5)*($B$10:$B$29=B$2)*1)&amp;"명"</f>
        <v>4명</v>
      </c>
      <c r="C5" s="30" t="str">
        <f t="array" ref="C5">SUM(($A$10:$A$29=$A5)*($B$10:$B$29=C$2)*1)&amp;"명"</f>
        <v>2명</v>
      </c>
      <c r="D5" s="6">
        <f t="array" ref="D5">_xlfn.PERCENTILE.INC(IF(($A$10:$A$29=$A5),$E$10:$E$29),0.5)</f>
        <v>85.5</v>
      </c>
      <c r="E5" s="34"/>
      <c r="G5" s="30" t="s">
        <v>76</v>
      </c>
      <c r="H5" s="30" t="s">
        <v>77</v>
      </c>
      <c r="I5" s="31">
        <v>1800</v>
      </c>
      <c r="J5" s="12">
        <f t="shared" si="0"/>
        <v>0.08</v>
      </c>
      <c r="K5" s="13">
        <f t="shared" si="1"/>
        <v>1944.0000000000002</v>
      </c>
    </row>
    <row r="6" spans="1:11">
      <c r="A6" s="30" t="s">
        <v>78</v>
      </c>
      <c r="B6" s="30" t="str">
        <f t="array" ref="B6">SUM(($A$10:$A$29=$A6)*($B$10:$B$29=B$2)*1)&amp;"명"</f>
        <v>1명</v>
      </c>
      <c r="C6" s="30" t="str">
        <f t="array" ref="C6">SUM(($A$10:$A$29=$A6)*($B$10:$B$29=C$2)*1)&amp;"명"</f>
        <v>3명</v>
      </c>
      <c r="D6" s="6">
        <f t="array" ref="D6">_xlfn.PERCENTILE.INC(IF(($A$10:$A$29=$A6),$E$10:$E$29),0.5)</f>
        <v>88</v>
      </c>
      <c r="E6" s="34"/>
      <c r="G6" s="30" t="s">
        <v>79</v>
      </c>
      <c r="H6" s="30" t="s">
        <v>74</v>
      </c>
      <c r="I6" s="31">
        <v>1500</v>
      </c>
      <c r="J6" s="12">
        <f t="shared" si="0"/>
        <v>0.06</v>
      </c>
      <c r="K6" s="13">
        <f t="shared" si="1"/>
        <v>1590</v>
      </c>
    </row>
    <row r="7" spans="1:11">
      <c r="G7" s="30" t="s">
        <v>80</v>
      </c>
      <c r="H7" s="30" t="s">
        <v>81</v>
      </c>
      <c r="I7" s="31">
        <v>1200</v>
      </c>
      <c r="J7" s="12">
        <f t="shared" si="0"/>
        <v>0.05</v>
      </c>
      <c r="K7" s="13">
        <f t="shared" si="1"/>
        <v>1260</v>
      </c>
    </row>
    <row r="8" spans="1:11">
      <c r="A8" t="s">
        <v>6</v>
      </c>
      <c r="C8" t="s">
        <v>82</v>
      </c>
      <c r="G8" s="30" t="s">
        <v>83</v>
      </c>
      <c r="H8" s="30" t="s">
        <v>84</v>
      </c>
      <c r="I8" s="31">
        <v>2100</v>
      </c>
      <c r="J8" s="12">
        <f t="shared" si="0"/>
        <v>0.1</v>
      </c>
      <c r="K8" s="13">
        <f t="shared" si="1"/>
        <v>2310</v>
      </c>
    </row>
    <row r="9" spans="1:11">
      <c r="A9" s="30" t="s">
        <v>62</v>
      </c>
      <c r="B9" s="30" t="s">
        <v>32</v>
      </c>
      <c r="C9" s="14" t="s">
        <v>85</v>
      </c>
      <c r="D9" s="30" t="s">
        <v>86</v>
      </c>
      <c r="E9" s="30" t="s">
        <v>87</v>
      </c>
      <c r="G9" s="30" t="s">
        <v>88</v>
      </c>
      <c r="H9" s="30" t="s">
        <v>81</v>
      </c>
      <c r="I9" s="31">
        <v>1200</v>
      </c>
      <c r="J9" s="12">
        <f t="shared" si="0"/>
        <v>0.05</v>
      </c>
      <c r="K9" s="13">
        <f t="shared" si="1"/>
        <v>1260</v>
      </c>
    </row>
    <row r="10" spans="1:11">
      <c r="A10" s="30" t="s">
        <v>78</v>
      </c>
      <c r="B10" s="30" t="s">
        <v>63</v>
      </c>
      <c r="C10" s="14" t="s">
        <v>89</v>
      </c>
      <c r="D10" s="15" t="s">
        <v>90</v>
      </c>
      <c r="E10" s="30">
        <v>77</v>
      </c>
      <c r="G10" s="30" t="s">
        <v>91</v>
      </c>
      <c r="H10" s="30" t="s">
        <v>84</v>
      </c>
      <c r="I10" s="31">
        <v>2100</v>
      </c>
      <c r="J10" s="12">
        <f t="shared" si="0"/>
        <v>0.1</v>
      </c>
      <c r="K10" s="13">
        <f t="shared" si="1"/>
        <v>2310</v>
      </c>
    </row>
    <row r="11" spans="1:11">
      <c r="A11" s="30" t="s">
        <v>75</v>
      </c>
      <c r="B11" s="30" t="s">
        <v>63</v>
      </c>
      <c r="C11" s="14" t="s">
        <v>92</v>
      </c>
      <c r="D11" s="15" t="s">
        <v>93</v>
      </c>
      <c r="E11" s="30">
        <v>86</v>
      </c>
      <c r="G11" s="30" t="s">
        <v>94</v>
      </c>
      <c r="H11" s="30" t="s">
        <v>71</v>
      </c>
      <c r="I11" s="31">
        <v>1000</v>
      </c>
      <c r="J11" s="12">
        <f t="shared" si="0"/>
        <v>0.03</v>
      </c>
      <c r="K11" s="13">
        <f t="shared" si="1"/>
        <v>1030</v>
      </c>
    </row>
    <row r="12" spans="1:11">
      <c r="A12" s="30" t="s">
        <v>72</v>
      </c>
      <c r="B12" s="30" t="s">
        <v>63</v>
      </c>
      <c r="C12" s="14" t="s">
        <v>95</v>
      </c>
      <c r="D12" s="15" t="s">
        <v>96</v>
      </c>
      <c r="E12" s="30">
        <v>85</v>
      </c>
      <c r="G12" s="99" t="s">
        <v>97</v>
      </c>
      <c r="H12" s="100"/>
      <c r="I12" s="101"/>
      <c r="J12" s="30">
        <v>924</v>
      </c>
    </row>
    <row r="13" spans="1:11">
      <c r="A13" s="30" t="s">
        <v>69</v>
      </c>
      <c r="B13" s="30" t="s">
        <v>63</v>
      </c>
      <c r="C13" s="14" t="s">
        <v>98</v>
      </c>
      <c r="D13" s="15" t="s">
        <v>96</v>
      </c>
      <c r="E13" s="30">
        <v>92</v>
      </c>
    </row>
    <row r="14" spans="1:11">
      <c r="A14" s="30" t="s">
        <v>69</v>
      </c>
      <c r="B14" s="30" t="s">
        <v>64</v>
      </c>
      <c r="C14" s="14" t="s">
        <v>99</v>
      </c>
      <c r="D14" s="15" t="s">
        <v>96</v>
      </c>
      <c r="E14" s="30">
        <v>95</v>
      </c>
      <c r="G14" t="s">
        <v>443</v>
      </c>
    </row>
    <row r="15" spans="1:11">
      <c r="A15" s="30" t="s">
        <v>78</v>
      </c>
      <c r="B15" s="30" t="s">
        <v>64</v>
      </c>
      <c r="C15" s="14" t="s">
        <v>100</v>
      </c>
      <c r="D15" s="15" t="s">
        <v>96</v>
      </c>
      <c r="E15" s="30">
        <v>89</v>
      </c>
      <c r="G15" s="30" t="s">
        <v>67</v>
      </c>
      <c r="H15" s="29" t="s">
        <v>114</v>
      </c>
    </row>
    <row r="16" spans="1:11">
      <c r="A16" s="30" t="s">
        <v>75</v>
      </c>
      <c r="B16" s="30" t="s">
        <v>64</v>
      </c>
      <c r="C16" s="14" t="s">
        <v>101</v>
      </c>
      <c r="D16" s="15" t="s">
        <v>102</v>
      </c>
      <c r="E16" s="30">
        <v>95</v>
      </c>
      <c r="G16" s="30" t="s">
        <v>84</v>
      </c>
      <c r="H16" s="6">
        <f t="array" ref="H16">ROUNDDOWN(SUM(($H$3:$H$11=$G16)*($I$3:$I$11*$J$3:$J$11))/$J$12,2)</f>
        <v>0.45</v>
      </c>
    </row>
    <row r="17" spans="1:8">
      <c r="A17" s="30" t="s">
        <v>72</v>
      </c>
      <c r="B17" s="30" t="s">
        <v>63</v>
      </c>
      <c r="C17" s="14" t="s">
        <v>103</v>
      </c>
      <c r="D17" s="15" t="s">
        <v>104</v>
      </c>
      <c r="E17" s="30">
        <v>98</v>
      </c>
      <c r="G17" s="30" t="s">
        <v>77</v>
      </c>
      <c r="H17" s="6">
        <f t="array" ref="H17">ROUNDDOWN(SUM(($H$3:$H$11=$G17)*($I$3:$I$11*$J$3:$J$11))/$J$12,2)</f>
        <v>0.15</v>
      </c>
    </row>
    <row r="18" spans="1:8">
      <c r="A18" s="30" t="s">
        <v>78</v>
      </c>
      <c r="B18" s="30" t="s">
        <v>64</v>
      </c>
      <c r="C18" s="14" t="s">
        <v>105</v>
      </c>
      <c r="D18" s="15" t="s">
        <v>102</v>
      </c>
      <c r="E18" s="30">
        <v>87</v>
      </c>
      <c r="G18" s="30" t="s">
        <v>74</v>
      </c>
      <c r="H18" s="6">
        <f t="array" ref="H18">ROUNDDOWN(SUM(($H$3:$H$11=$G18)*($I$3:$I$11*$J$3:$J$11))/$J$12,2)</f>
        <v>0.19</v>
      </c>
    </row>
    <row r="19" spans="1:8">
      <c r="A19" s="30" t="s">
        <v>72</v>
      </c>
      <c r="B19" s="30" t="s">
        <v>64</v>
      </c>
      <c r="C19" s="14" t="s">
        <v>106</v>
      </c>
      <c r="D19" s="15" t="s">
        <v>107</v>
      </c>
      <c r="E19" s="30">
        <v>93</v>
      </c>
      <c r="G19" s="30" t="s">
        <v>81</v>
      </c>
      <c r="H19" s="6">
        <f t="array" ref="H19">ROUNDDOWN(SUM(($H$3:$H$11=$G19)*($I$3:$I$11*$J$3:$J$11))/$J$12,2)</f>
        <v>0.12</v>
      </c>
    </row>
    <row r="20" spans="1:8">
      <c r="A20" s="30" t="s">
        <v>72</v>
      </c>
      <c r="B20" s="30" t="s">
        <v>64</v>
      </c>
      <c r="C20" s="14" t="s">
        <v>108</v>
      </c>
      <c r="D20" s="15" t="s">
        <v>96</v>
      </c>
      <c r="E20" s="30">
        <v>88</v>
      </c>
      <c r="G20" s="30" t="s">
        <v>71</v>
      </c>
      <c r="H20" s="6">
        <f t="array" ref="H20">ROUNDDOWN(SUM(($H$3:$H$11=$G20)*($I$3:$I$11*$J$3:$J$11))/$J$12,2)</f>
        <v>0.06</v>
      </c>
    </row>
    <row r="21" spans="1:8">
      <c r="A21" s="30" t="s">
        <v>72</v>
      </c>
      <c r="B21" s="30" t="s">
        <v>64</v>
      </c>
      <c r="C21" s="14" t="s">
        <v>109</v>
      </c>
      <c r="D21" s="15" t="s">
        <v>110</v>
      </c>
      <c r="E21" s="30">
        <v>69</v>
      </c>
    </row>
    <row r="22" spans="1:8">
      <c r="A22" s="30" t="s">
        <v>72</v>
      </c>
      <c r="B22" s="30" t="s">
        <v>64</v>
      </c>
      <c r="C22" s="14" t="s">
        <v>111</v>
      </c>
      <c r="D22" s="15" t="s">
        <v>112</v>
      </c>
      <c r="E22" s="30">
        <v>78</v>
      </c>
    </row>
    <row r="23" spans="1:8">
      <c r="A23" s="30" t="s">
        <v>75</v>
      </c>
      <c r="B23" s="30" t="s">
        <v>63</v>
      </c>
      <c r="C23" s="14" t="s">
        <v>113</v>
      </c>
      <c r="D23" s="15" t="s">
        <v>102</v>
      </c>
      <c r="E23" s="30">
        <v>83</v>
      </c>
    </row>
    <row r="24" spans="1:8">
      <c r="A24" s="30" t="s">
        <v>75</v>
      </c>
      <c r="B24" s="30" t="s">
        <v>64</v>
      </c>
      <c r="C24" s="14" t="s">
        <v>115</v>
      </c>
      <c r="D24" s="15" t="s">
        <v>116</v>
      </c>
      <c r="E24" s="30">
        <v>85</v>
      </c>
    </row>
    <row r="25" spans="1:8">
      <c r="A25" s="30" t="s">
        <v>75</v>
      </c>
      <c r="B25" s="30" t="s">
        <v>63</v>
      </c>
      <c r="C25" s="14" t="s">
        <v>117</v>
      </c>
      <c r="D25" s="15" t="s">
        <v>104</v>
      </c>
      <c r="E25" s="30">
        <v>78</v>
      </c>
    </row>
    <row r="26" spans="1:8">
      <c r="A26" s="30" t="s">
        <v>75</v>
      </c>
      <c r="B26" s="30" t="s">
        <v>63</v>
      </c>
      <c r="C26" s="14" t="s">
        <v>118</v>
      </c>
      <c r="D26" s="15" t="s">
        <v>104</v>
      </c>
      <c r="E26" s="30">
        <v>100</v>
      </c>
    </row>
    <row r="27" spans="1:8">
      <c r="A27" s="30" t="s">
        <v>78</v>
      </c>
      <c r="B27" s="30" t="s">
        <v>64</v>
      </c>
      <c r="C27" s="14" t="s">
        <v>119</v>
      </c>
      <c r="D27" s="15" t="s">
        <v>102</v>
      </c>
      <c r="E27" s="30">
        <v>90</v>
      </c>
    </row>
    <row r="28" spans="1:8">
      <c r="A28" s="30" t="s">
        <v>69</v>
      </c>
      <c r="B28" s="30" t="s">
        <v>64</v>
      </c>
      <c r="C28" s="14" t="s">
        <v>120</v>
      </c>
      <c r="D28" s="15" t="s">
        <v>96</v>
      </c>
      <c r="E28" s="30">
        <v>83</v>
      </c>
    </row>
    <row r="29" spans="1:8">
      <c r="A29" s="30" t="s">
        <v>69</v>
      </c>
      <c r="B29" s="30" t="s">
        <v>64</v>
      </c>
      <c r="C29" s="14" t="s">
        <v>121</v>
      </c>
      <c r="D29" s="15" t="s">
        <v>96</v>
      </c>
      <c r="E29" s="30">
        <v>79</v>
      </c>
    </row>
  </sheetData>
  <mergeCells count="1">
    <mergeCell ref="G12:I1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23"/>
  <sheetViews>
    <sheetView workbookViewId="0">
      <selection activeCell="F19" sqref="F19"/>
    </sheetView>
  </sheetViews>
  <sheetFormatPr defaultRowHeight="16.5"/>
  <cols>
    <col min="1" max="2" width="11" bestFit="1" customWidth="1"/>
    <col min="3" max="3" width="12.625" customWidth="1"/>
    <col min="4" max="4" width="11" customWidth="1"/>
    <col min="6" max="6" width="14.125" customWidth="1"/>
    <col min="7" max="7" width="11.5" customWidth="1"/>
  </cols>
  <sheetData>
    <row r="1" spans="1:7">
      <c r="A1" t="s">
        <v>0</v>
      </c>
    </row>
    <row r="2" spans="1:7">
      <c r="A2" s="30" t="s">
        <v>30</v>
      </c>
      <c r="B2" s="30" t="s">
        <v>31</v>
      </c>
      <c r="C2" s="30" t="s">
        <v>32</v>
      </c>
      <c r="D2" s="30" t="s">
        <v>33</v>
      </c>
      <c r="E2" s="30" t="s">
        <v>34</v>
      </c>
      <c r="F2" s="29" t="s">
        <v>35</v>
      </c>
      <c r="G2" s="29" t="s">
        <v>36</v>
      </c>
    </row>
    <row r="3" spans="1:7">
      <c r="A3" s="30" t="s">
        <v>37</v>
      </c>
      <c r="B3" s="30" t="s">
        <v>38</v>
      </c>
      <c r="C3" s="30" t="s">
        <v>39</v>
      </c>
      <c r="D3" s="2">
        <v>5000</v>
      </c>
      <c r="E3" s="2">
        <v>28000</v>
      </c>
      <c r="F3" s="3">
        <f>성과급(E3)</f>
        <v>7000</v>
      </c>
      <c r="G3" s="4">
        <f>(D3+F3)*(1-HLOOKUP((D3+F3),$B$14:$E$15,2,TRUE))</f>
        <v>10200</v>
      </c>
    </row>
    <row r="4" spans="1:7">
      <c r="A4" s="30" t="s">
        <v>40</v>
      </c>
      <c r="B4" s="30" t="s">
        <v>38</v>
      </c>
      <c r="C4" s="30" t="s">
        <v>41</v>
      </c>
      <c r="D4" s="2">
        <v>4000</v>
      </c>
      <c r="E4" s="2">
        <v>16000</v>
      </c>
      <c r="F4" s="3">
        <f t="shared" ref="F4:F11" si="0">성과급(E4)</f>
        <v>3200</v>
      </c>
      <c r="G4" s="4">
        <f t="shared" ref="G4:G11" si="1">(D4+F4)*(1-HLOOKUP((D4+F4),$B$14:$E$15,2,TRUE))</f>
        <v>6480</v>
      </c>
    </row>
    <row r="5" spans="1:7">
      <c r="A5" s="30" t="s">
        <v>42</v>
      </c>
      <c r="B5" s="30" t="s">
        <v>43</v>
      </c>
      <c r="C5" s="30" t="s">
        <v>41</v>
      </c>
      <c r="D5" s="2">
        <v>1000</v>
      </c>
      <c r="E5" s="2">
        <v>22000</v>
      </c>
      <c r="F5" s="3">
        <f t="shared" si="0"/>
        <v>5500</v>
      </c>
      <c r="G5" s="4">
        <f t="shared" si="1"/>
        <v>5850</v>
      </c>
    </row>
    <row r="6" spans="1:7">
      <c r="A6" s="30" t="s">
        <v>44</v>
      </c>
      <c r="B6" s="30" t="s">
        <v>38</v>
      </c>
      <c r="C6" s="30" t="s">
        <v>41</v>
      </c>
      <c r="D6" s="2">
        <v>4000</v>
      </c>
      <c r="E6" s="2">
        <v>5000</v>
      </c>
      <c r="F6" s="3">
        <f t="shared" si="0"/>
        <v>750</v>
      </c>
      <c r="G6" s="4">
        <f t="shared" si="1"/>
        <v>4512.5</v>
      </c>
    </row>
    <row r="7" spans="1:7">
      <c r="A7" s="30" t="s">
        <v>45</v>
      </c>
      <c r="B7" s="30" t="s">
        <v>46</v>
      </c>
      <c r="C7" s="30" t="s">
        <v>41</v>
      </c>
      <c r="D7" s="2">
        <v>4000</v>
      </c>
      <c r="E7" s="2">
        <v>3000</v>
      </c>
      <c r="F7" s="3">
        <f t="shared" si="0"/>
        <v>450</v>
      </c>
      <c r="G7" s="4">
        <f t="shared" si="1"/>
        <v>4227.5</v>
      </c>
    </row>
    <row r="8" spans="1:7">
      <c r="A8" s="30" t="s">
        <v>47</v>
      </c>
      <c r="B8" s="30" t="s">
        <v>46</v>
      </c>
      <c r="C8" s="30" t="s">
        <v>48</v>
      </c>
      <c r="D8" s="2">
        <v>3000</v>
      </c>
      <c r="E8" s="2">
        <v>7000</v>
      </c>
      <c r="F8" s="3">
        <f t="shared" si="0"/>
        <v>1050</v>
      </c>
      <c r="G8" s="4">
        <f t="shared" si="1"/>
        <v>3847.5</v>
      </c>
    </row>
    <row r="9" spans="1:7">
      <c r="A9" s="30" t="s">
        <v>49</v>
      </c>
      <c r="B9" s="30" t="s">
        <v>46</v>
      </c>
      <c r="C9" s="30" t="s">
        <v>48</v>
      </c>
      <c r="D9" s="2">
        <v>3000</v>
      </c>
      <c r="E9" s="2">
        <v>32000</v>
      </c>
      <c r="F9" s="3">
        <f t="shared" si="0"/>
        <v>8000</v>
      </c>
      <c r="G9" s="4">
        <f t="shared" si="1"/>
        <v>9350</v>
      </c>
    </row>
    <row r="10" spans="1:7">
      <c r="A10" s="30" t="s">
        <v>50</v>
      </c>
      <c r="B10" s="30" t="s">
        <v>43</v>
      </c>
      <c r="C10" s="30" t="s">
        <v>51</v>
      </c>
      <c r="D10" s="2">
        <v>1000</v>
      </c>
      <c r="E10" s="2">
        <v>6000</v>
      </c>
      <c r="F10" s="3">
        <f t="shared" si="0"/>
        <v>900</v>
      </c>
      <c r="G10" s="4">
        <f t="shared" si="1"/>
        <v>1900</v>
      </c>
    </row>
    <row r="11" spans="1:7">
      <c r="A11" s="30" t="s">
        <v>52</v>
      </c>
      <c r="B11" s="30" t="s">
        <v>38</v>
      </c>
      <c r="C11" s="30" t="s">
        <v>51</v>
      </c>
      <c r="D11" s="2">
        <v>1000</v>
      </c>
      <c r="E11" s="2">
        <v>15000</v>
      </c>
      <c r="F11" s="3">
        <f t="shared" si="0"/>
        <v>3000</v>
      </c>
      <c r="G11" s="4">
        <f t="shared" si="1"/>
        <v>3800</v>
      </c>
    </row>
    <row r="13" spans="1:7">
      <c r="A13" t="s">
        <v>6</v>
      </c>
      <c r="B13" t="s">
        <v>53</v>
      </c>
    </row>
    <row r="14" spans="1:7">
      <c r="A14" s="5" t="s">
        <v>54</v>
      </c>
      <c r="B14" s="6">
        <v>1</v>
      </c>
      <c r="C14" s="2">
        <v>3000</v>
      </c>
      <c r="D14" s="2">
        <v>6000</v>
      </c>
      <c r="E14" s="2">
        <v>9000</v>
      </c>
    </row>
    <row r="15" spans="1:7">
      <c r="A15" s="5" t="s">
        <v>55</v>
      </c>
      <c r="B15" s="7">
        <v>0</v>
      </c>
      <c r="C15" s="7">
        <v>0.05</v>
      </c>
      <c r="D15" s="7">
        <v>0.1</v>
      </c>
      <c r="E15" s="7">
        <v>0.15</v>
      </c>
    </row>
    <row r="17" spans="1:6">
      <c r="A17" t="s">
        <v>56</v>
      </c>
    </row>
    <row r="18" spans="1:6">
      <c r="A18" s="30" t="s">
        <v>32</v>
      </c>
      <c r="B18" s="29" t="s">
        <v>57</v>
      </c>
      <c r="C18" s="29" t="s">
        <v>58</v>
      </c>
      <c r="E18" s="8" t="s">
        <v>59</v>
      </c>
    </row>
    <row r="19" spans="1:6">
      <c r="A19" s="30">
        <v>2</v>
      </c>
      <c r="B19" s="9">
        <f t="array" ref="B19">MEDIAN(IF(($C$3:$C$11=$A19&amp;"급"),$E$3:$E$11))</f>
        <v>28000</v>
      </c>
      <c r="C19" s="9">
        <f t="array" ref="C19">SUM(($C$3:$C$11=$A19&amp;"급")*($E$3:$E$11&gt;=10000)*($F$3:$F$11))</f>
        <v>7000</v>
      </c>
      <c r="E19" s="6">
        <f>DCOUNTA($A$2:$G$11,A2,E21:F22)</f>
        <v>3</v>
      </c>
    </row>
    <row r="20" spans="1:6">
      <c r="A20" s="30">
        <v>3</v>
      </c>
      <c r="B20" s="9">
        <f t="array" ref="B20">MEDIAN(IF(($C$3:$C$11=$A20&amp;"급"),$E$3:$E$11))</f>
        <v>10500</v>
      </c>
      <c r="C20" s="9">
        <f t="array" ref="C20">SUM(($C$3:$C$11=$A20&amp;"급")*($E$3:$E$11&gt;=10000)*($F$3:$F$11))</f>
        <v>8700</v>
      </c>
    </row>
    <row r="21" spans="1:6">
      <c r="A21" s="30">
        <v>4</v>
      </c>
      <c r="B21" s="9">
        <f t="array" ref="B21">MEDIAN(IF(($C$3:$C$11=$A21&amp;"급"),$E$3:$E$11))</f>
        <v>19500</v>
      </c>
      <c r="C21" s="9">
        <f t="array" ref="C21">SUM(($C$3:$C$11=$A21&amp;"급")*($E$3:$E$11&gt;=10000)*($F$3:$F$11))</f>
        <v>8000</v>
      </c>
      <c r="E21" s="10" t="s">
        <v>987</v>
      </c>
      <c r="F21" s="10" t="s">
        <v>988</v>
      </c>
    </row>
    <row r="22" spans="1:6">
      <c r="A22" s="30">
        <v>5</v>
      </c>
      <c r="B22" s="9">
        <f t="array" ref="B22">MEDIAN(IF(($C$3:$C$11=$A22&amp;"급"),$E$3:$E$11))</f>
        <v>10500</v>
      </c>
      <c r="C22" s="9">
        <f t="array" ref="C22">SUM(($C$3:$C$11=$A22&amp;"급")*($E$3:$E$11&gt;=10000)*($F$3:$F$11))</f>
        <v>3000</v>
      </c>
      <c r="E22" s="10" t="s">
        <v>989</v>
      </c>
      <c r="F22" s="10" t="s">
        <v>990</v>
      </c>
    </row>
    <row r="23" spans="1:6">
      <c r="F23" s="8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I23"/>
  <sheetViews>
    <sheetView workbookViewId="0">
      <selection activeCell="B22" sqref="B22"/>
    </sheetView>
  </sheetViews>
  <sheetFormatPr defaultRowHeight="16.5"/>
  <cols>
    <col min="1" max="1" width="7.125" bestFit="1" customWidth="1"/>
    <col min="2" max="2" width="8.875" bestFit="1" customWidth="1"/>
    <col min="3" max="3" width="15.875" bestFit="1" customWidth="1"/>
    <col min="4" max="4" width="11.125" bestFit="1" customWidth="1"/>
    <col min="5" max="5" width="7.375" bestFit="1" customWidth="1"/>
    <col min="7" max="7" width="11" bestFit="1" customWidth="1"/>
    <col min="8" max="8" width="7.375" bestFit="1" customWidth="1"/>
    <col min="9" max="9" width="11.125" bestFit="1" customWidth="1"/>
  </cols>
  <sheetData>
    <row r="1" spans="1:9">
      <c r="A1" t="s">
        <v>0</v>
      </c>
    </row>
    <row r="2" spans="1:9">
      <c r="A2" s="30" t="s">
        <v>1</v>
      </c>
      <c r="B2" s="29" t="s">
        <v>429</v>
      </c>
      <c r="C2" s="29" t="s">
        <v>2</v>
      </c>
      <c r="D2" s="29" t="s">
        <v>430</v>
      </c>
      <c r="E2" s="29" t="s">
        <v>431</v>
      </c>
    </row>
    <row r="3" spans="1:9">
      <c r="A3" s="30" t="s">
        <v>3</v>
      </c>
      <c r="B3" s="31">
        <f t="array" ref="B3">IFERROR(AVERAGE(IF((MID($C$9:$C$18,8,1)=MID(B$2,3,1))*($A$9:$A$18=$A3),$E$9:$E$18)),"없음")</f>
        <v>6000</v>
      </c>
      <c r="C3" s="31">
        <f t="array" ref="C3">IFERROR(AVERAGE(IF((MID($C$9:$C$18,8,1)=MID(C$2,3,1))*($A$9:$A$18=$A3),$E$9:$E$18)),"없음")</f>
        <v>4000</v>
      </c>
      <c r="D3" s="31" t="str">
        <f t="array" ref="D3">IFERROR(AVERAGE(IF((MID($C$9:$C$18,8,1)=MID(D$2,3,1))*($A$9:$A$18=$A3),$E$9:$E$18)),"없음")</f>
        <v>없음</v>
      </c>
      <c r="E3" s="31">
        <f t="array" ref="E3">IFERROR(AVERAGE(IF((MID($C$9:$C$18,8,1)=MID(E$2,3,1))*($A$9:$A$18=$A3),$E$9:$E$18)),"없음")</f>
        <v>5500</v>
      </c>
    </row>
    <row r="4" spans="1:9">
      <c r="A4" s="30" t="s">
        <v>4</v>
      </c>
      <c r="B4" s="31">
        <f t="array" ref="B4">IFERROR(AVERAGE(IF((MID($C$9:$C$18,8,1)=MID(B$2,3,1))*($A$9:$A$18=$A4),$E$9:$E$18)),"없음")</f>
        <v>7500</v>
      </c>
      <c r="C4" s="31" t="str">
        <f t="array" ref="C4">IFERROR(AVERAGE(IF((MID($C$9:$C$18,8,1)=MID(C$2,3,1))*($A$9:$A$18=$A4),$E$9:$E$18)),"없음")</f>
        <v>없음</v>
      </c>
      <c r="D4" s="31">
        <f t="array" ref="D4">IFERROR(AVERAGE(IF((MID($C$9:$C$18,8,1)=MID(D$2,3,1))*($A$9:$A$18=$A4),$E$9:$E$18)),"없음")</f>
        <v>5250</v>
      </c>
      <c r="E4" s="31" t="str">
        <f t="array" ref="E4">IFERROR(AVERAGE(IF((MID($C$9:$C$18,8,1)=MID(E$2,3,1))*($A$9:$A$18=$A4),$E$9:$E$18)),"없음")</f>
        <v>없음</v>
      </c>
      <c r="I4" s="23"/>
    </row>
    <row r="5" spans="1:9">
      <c r="A5" s="30" t="s">
        <v>5</v>
      </c>
      <c r="B5" s="31">
        <f t="array" ref="B5">IFERROR(AVERAGE(IF((MID($C$9:$C$18,8,1)=MID(B$2,3,1))*($A$9:$A$18=$A5),$E$9:$E$18)),"없음")</f>
        <v>3000</v>
      </c>
      <c r="C5" s="31">
        <f t="array" ref="C5">IFERROR(AVERAGE(IF((MID($C$9:$C$18,8,1)=MID(C$2,3,1))*($A$9:$A$18=$A5),$E$9:$E$18)),"없음")</f>
        <v>8000</v>
      </c>
      <c r="D5" s="31" t="str">
        <f t="array" ref="D5">IFERROR(AVERAGE(IF((MID($C$9:$C$18,8,1)=MID(D$2,3,1))*($A$9:$A$18=$A5),$E$9:$E$18)),"없음")</f>
        <v>없음</v>
      </c>
      <c r="E5" s="31" t="str">
        <f t="array" ref="E5">IFERROR(AVERAGE(IF((MID($C$9:$C$18,8,1)=MID(E$2,3,1))*($A$9:$A$18=$A5),$E$9:$E$18)),"없음")</f>
        <v>없음</v>
      </c>
    </row>
    <row r="7" spans="1:9">
      <c r="A7" t="s">
        <v>6</v>
      </c>
    </row>
    <row r="8" spans="1:9">
      <c r="A8" s="30" t="s">
        <v>1</v>
      </c>
      <c r="B8" s="30" t="s">
        <v>7</v>
      </c>
      <c r="C8" s="30" t="s">
        <v>8</v>
      </c>
      <c r="D8" s="29" t="s">
        <v>9</v>
      </c>
      <c r="E8" s="30" t="s">
        <v>10</v>
      </c>
      <c r="F8" s="30" t="s">
        <v>11</v>
      </c>
      <c r="G8" s="29" t="s">
        <v>12</v>
      </c>
      <c r="H8" s="30" t="s">
        <v>13</v>
      </c>
      <c r="I8" s="29" t="s">
        <v>14</v>
      </c>
    </row>
    <row r="9" spans="1:9">
      <c r="A9" s="30" t="s">
        <v>5</v>
      </c>
      <c r="B9" s="30" t="s">
        <v>15</v>
      </c>
      <c r="C9" s="30" t="s">
        <v>432</v>
      </c>
      <c r="D9" s="1">
        <f>IF(MID(C9,1,2)&lt;="29",DATE("20"&amp;MID(C9,1,2),MID(C9,3,2),MID(C9,5,2)),DATE(MID(C9,1,2),MID(C9,3,2),MID(C9,5,2)))</f>
        <v>27779</v>
      </c>
      <c r="E9" s="31">
        <v>1500</v>
      </c>
      <c r="F9" s="30" t="s">
        <v>16</v>
      </c>
      <c r="G9" s="31">
        <f>_xlfn.IFS(AND(E9&gt;=8000,F9="기혼"),E9*1,E9&gt;=5000,E9*0.8,E9&lt;5000,E9*0.6)</f>
        <v>900</v>
      </c>
      <c r="H9" s="31">
        <v>1500</v>
      </c>
      <c r="I9" s="31">
        <f>sh총대여액(G9,H9)</f>
        <v>2400</v>
      </c>
    </row>
    <row r="10" spans="1:9">
      <c r="A10" s="30" t="s">
        <v>4</v>
      </c>
      <c r="B10" s="30" t="s">
        <v>17</v>
      </c>
      <c r="C10" s="30" t="s">
        <v>433</v>
      </c>
      <c r="D10" s="1">
        <f t="shared" ref="D10:D18" si="0">IF(MID(C10,1,2)&lt;="29",DATE("20"&amp;MID(C10,1,2),MID(C10,3,2),MID(C10,5,2)),DATE(MID(C10,1,2),MID(C10,3,2),MID(C10,5,2)))</f>
        <v>37149</v>
      </c>
      <c r="E10" s="31">
        <v>8500</v>
      </c>
      <c r="F10" s="30" t="s">
        <v>18</v>
      </c>
      <c r="G10" s="31">
        <f t="shared" ref="G10:G18" si="1">_xlfn.IFS(AND(E10&gt;=8000,F10="기혼"),E10*1,E10&gt;=5000,E10*0.8,E10&lt;5000,E10*0.6)</f>
        <v>6800</v>
      </c>
      <c r="H10" s="31">
        <v>1500</v>
      </c>
      <c r="I10" s="31">
        <f t="shared" ref="I10:I18" si="2">sh총대여액(G10,H10)</f>
        <v>8300</v>
      </c>
    </row>
    <row r="11" spans="1:9">
      <c r="A11" s="30" t="s">
        <v>3</v>
      </c>
      <c r="B11" s="30" t="s">
        <v>19</v>
      </c>
      <c r="C11" s="30" t="s">
        <v>434</v>
      </c>
      <c r="D11" s="1">
        <f t="shared" si="0"/>
        <v>35269</v>
      </c>
      <c r="E11" s="31">
        <v>6000</v>
      </c>
      <c r="F11" s="30" t="s">
        <v>18</v>
      </c>
      <c r="G11" s="31">
        <f t="shared" si="1"/>
        <v>4800</v>
      </c>
      <c r="H11" s="31">
        <v>2500</v>
      </c>
      <c r="I11" s="31">
        <f t="shared" si="2"/>
        <v>7300</v>
      </c>
    </row>
    <row r="12" spans="1:9">
      <c r="A12" s="30" t="s">
        <v>5</v>
      </c>
      <c r="B12" s="30" t="s">
        <v>20</v>
      </c>
      <c r="C12" s="30" t="s">
        <v>435</v>
      </c>
      <c r="D12" s="1">
        <f t="shared" si="0"/>
        <v>33237</v>
      </c>
      <c r="E12" s="31">
        <v>4500</v>
      </c>
      <c r="F12" s="30" t="s">
        <v>16</v>
      </c>
      <c r="G12" s="31">
        <f t="shared" si="1"/>
        <v>2700</v>
      </c>
      <c r="H12" s="31">
        <v>1000</v>
      </c>
      <c r="I12" s="31">
        <f t="shared" si="2"/>
        <v>3700</v>
      </c>
    </row>
    <row r="13" spans="1:9">
      <c r="A13" s="30" t="s">
        <v>3</v>
      </c>
      <c r="B13" s="30" t="s">
        <v>21</v>
      </c>
      <c r="C13" s="30" t="s">
        <v>436</v>
      </c>
      <c r="D13" s="1">
        <f t="shared" si="0"/>
        <v>37443</v>
      </c>
      <c r="E13" s="31">
        <v>5500</v>
      </c>
      <c r="F13" s="30" t="s">
        <v>18</v>
      </c>
      <c r="G13" s="31">
        <f t="shared" si="1"/>
        <v>4400</v>
      </c>
      <c r="H13" s="31">
        <v>2000</v>
      </c>
      <c r="I13" s="31">
        <f t="shared" si="2"/>
        <v>6400</v>
      </c>
    </row>
    <row r="14" spans="1:9">
      <c r="A14" s="30" t="s">
        <v>3</v>
      </c>
      <c r="B14" s="30" t="s">
        <v>22</v>
      </c>
      <c r="C14" s="30" t="s">
        <v>398</v>
      </c>
      <c r="D14" s="1">
        <f t="shared" si="0"/>
        <v>31432</v>
      </c>
      <c r="E14" s="31">
        <v>3000</v>
      </c>
      <c r="F14" s="30" t="s">
        <v>16</v>
      </c>
      <c r="G14" s="31">
        <f t="shared" si="1"/>
        <v>1800</v>
      </c>
      <c r="H14" s="31">
        <v>2500</v>
      </c>
      <c r="I14" s="31">
        <f t="shared" si="2"/>
        <v>4300</v>
      </c>
    </row>
    <row r="15" spans="1:9">
      <c r="A15" s="30" t="s">
        <v>4</v>
      </c>
      <c r="B15" s="30" t="s">
        <v>23</v>
      </c>
      <c r="C15" s="30" t="s">
        <v>437</v>
      </c>
      <c r="D15" s="1">
        <f t="shared" si="0"/>
        <v>32647</v>
      </c>
      <c r="E15" s="31">
        <v>7500</v>
      </c>
      <c r="F15" s="30" t="s">
        <v>16</v>
      </c>
      <c r="G15" s="31">
        <f t="shared" si="1"/>
        <v>6000</v>
      </c>
      <c r="H15" s="31">
        <v>1500</v>
      </c>
      <c r="I15" s="31">
        <f t="shared" si="2"/>
        <v>7500</v>
      </c>
    </row>
    <row r="16" spans="1:9">
      <c r="A16" s="30" t="s">
        <v>4</v>
      </c>
      <c r="B16" s="30" t="s">
        <v>24</v>
      </c>
      <c r="C16" s="30" t="s">
        <v>438</v>
      </c>
      <c r="D16" s="1">
        <f t="shared" si="0"/>
        <v>36855</v>
      </c>
      <c r="E16" s="31">
        <v>2000</v>
      </c>
      <c r="F16" s="30" t="s">
        <v>18</v>
      </c>
      <c r="G16" s="31">
        <f t="shared" si="1"/>
        <v>1200</v>
      </c>
      <c r="H16" s="31">
        <v>1500</v>
      </c>
      <c r="I16" s="31">
        <f t="shared" si="2"/>
        <v>2700</v>
      </c>
    </row>
    <row r="17" spans="1:9">
      <c r="A17" s="30" t="s">
        <v>5</v>
      </c>
      <c r="B17" s="30" t="s">
        <v>25</v>
      </c>
      <c r="C17" s="30" t="s">
        <v>26</v>
      </c>
      <c r="D17" s="1">
        <f t="shared" si="0"/>
        <v>34293</v>
      </c>
      <c r="E17" s="31">
        <v>8000</v>
      </c>
      <c r="F17" s="30" t="s">
        <v>16</v>
      </c>
      <c r="G17" s="31">
        <f t="shared" si="1"/>
        <v>8000</v>
      </c>
      <c r="H17" s="31">
        <v>1000</v>
      </c>
      <c r="I17" s="31">
        <f t="shared" si="2"/>
        <v>9000</v>
      </c>
    </row>
    <row r="18" spans="1:9">
      <c r="A18" s="30" t="s">
        <v>3</v>
      </c>
      <c r="B18" s="30" t="s">
        <v>27</v>
      </c>
      <c r="C18" s="30" t="s">
        <v>439</v>
      </c>
      <c r="D18" s="1">
        <f t="shared" si="0"/>
        <v>36268</v>
      </c>
      <c r="E18" s="31">
        <v>5000</v>
      </c>
      <c r="F18" s="30" t="s">
        <v>18</v>
      </c>
      <c r="G18" s="31">
        <f t="shared" si="1"/>
        <v>4000</v>
      </c>
      <c r="H18" s="31">
        <v>2500</v>
      </c>
      <c r="I18" s="31">
        <f t="shared" si="2"/>
        <v>6500</v>
      </c>
    </row>
    <row r="20" spans="1:9">
      <c r="A20" t="s">
        <v>396</v>
      </c>
    </row>
    <row r="21" spans="1:9">
      <c r="A21" s="97" t="s">
        <v>29</v>
      </c>
      <c r="B21" s="97"/>
    </row>
    <row r="22" spans="1:9">
      <c r="A22" s="29" t="s">
        <v>16</v>
      </c>
      <c r="B22" s="30" t="e">
        <f>MIN(IF($F$9:$F$18=$A22, $E$9:$E$18),$B$9:$B$18)</f>
        <v>#VALUE!</v>
      </c>
    </row>
    <row r="23" spans="1:9">
      <c r="A23" s="29" t="s">
        <v>18</v>
      </c>
      <c r="B23" s="30"/>
    </row>
  </sheetData>
  <mergeCells count="1">
    <mergeCell ref="A21:B2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20</vt:i4>
      </vt:variant>
    </vt:vector>
  </HeadingPairs>
  <TitlesOfParts>
    <vt:vector size="20" baseType="lpstr">
      <vt:lpstr>실전A형</vt:lpstr>
      <vt:lpstr>실전B형</vt:lpstr>
      <vt:lpstr>실전C형</vt:lpstr>
      <vt:lpstr>실전D형</vt:lpstr>
      <vt:lpstr>실전E형</vt:lpstr>
      <vt:lpstr>실전F형</vt:lpstr>
      <vt:lpstr>실전G형</vt:lpstr>
      <vt:lpstr>실전H형</vt:lpstr>
      <vt:lpstr>실전I형</vt:lpstr>
      <vt:lpstr>실전J형</vt:lpstr>
      <vt:lpstr>25년상시01</vt:lpstr>
      <vt:lpstr>25년상시02</vt:lpstr>
      <vt:lpstr>25년상시03</vt:lpstr>
      <vt:lpstr>25년상시04</vt:lpstr>
      <vt:lpstr>24년상시01</vt:lpstr>
      <vt:lpstr>24년상시02</vt:lpstr>
      <vt:lpstr>24년상시03</vt:lpstr>
      <vt:lpstr>24년상시04</vt:lpstr>
      <vt:lpstr>23년상시01</vt:lpstr>
      <vt:lpstr>23년상시02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김우경</dc:creator>
  <cp:lastModifiedBy>3306</cp:lastModifiedBy>
  <dcterms:created xsi:type="dcterms:W3CDTF">2020-10-05T12:55:10Z</dcterms:created>
  <dcterms:modified xsi:type="dcterms:W3CDTF">2025-08-20T13:07:57Z</dcterms:modified>
</cp:coreProperties>
</file>