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길벗컴활2급\"/>
    </mc:Choice>
  </mc:AlternateContent>
  <xr:revisionPtr revIDLastSave="0" documentId="13_ncr:1_{4E558E7F-2D56-4DAE-B7BE-392199CF9472}" xr6:coauthVersionLast="47" xr6:coauthVersionMax="47" xr10:uidLastSave="{00000000-0000-0000-0000-000000000000}"/>
  <bookViews>
    <workbookView xWindow="-108" yWindow="-108" windowWidth="23256" windowHeight="12456" tabRatio="868" firstSheet="9" activeTab="19" xr2:uid="{00000000-000D-0000-FFFF-FFFF00000000}"/>
  </bookViews>
  <sheets>
    <sheet name="실전A형" sheetId="52" r:id="rId1"/>
    <sheet name="실전B형" sheetId="45" r:id="rId2"/>
    <sheet name="실전C형" sheetId="46" r:id="rId3"/>
    <sheet name="실전D형" sheetId="26" r:id="rId4"/>
    <sheet name="실전E형" sheetId="47" r:id="rId5"/>
    <sheet name="실전F형" sheetId="38" r:id="rId6"/>
    <sheet name="실전G형" sheetId="39" r:id="rId7"/>
    <sheet name="실전H형" sheetId="40" r:id="rId8"/>
    <sheet name="실전I형" sheetId="55" r:id="rId9"/>
    <sheet name="실전J형" sheetId="54" r:id="rId10"/>
    <sheet name="22년상시01" sheetId="48" r:id="rId11"/>
    <sheet name="22년상시02" sheetId="49" r:id="rId12"/>
    <sheet name="22년상시03" sheetId="50" r:id="rId13"/>
    <sheet name="22년상시04" sheetId="56" r:id="rId14"/>
    <sheet name="21년상시01" sheetId="41" r:id="rId15"/>
    <sheet name="21년상시02" sheetId="42" r:id="rId16"/>
    <sheet name="21년상시03" sheetId="43" r:id="rId17"/>
    <sheet name="21년상시04" sheetId="44" r:id="rId18"/>
    <sheet name="21년공개A형" sheetId="23" r:id="rId19"/>
    <sheet name="21년공개B형" sheetId="24" r:id="rId20"/>
  </sheets>
  <externalReferences>
    <externalReference r:id="rId21"/>
    <externalReference r:id="rId22"/>
    <externalReference r:id="rId23"/>
  </externalReferences>
  <definedNames>
    <definedName name="매출이익총액">'[1]분석작업-1'!#REF!</definedName>
    <definedName name="문구명">'[2]기본작업-2'!#REF!</definedName>
    <definedName name="수익률">'[1]분석작업-1'!#REF!</definedName>
    <definedName name="오픈일자">#REF!</definedName>
    <definedName name="통신요금평균">'[2]분석작업-1'!#REF!</definedName>
    <definedName name="판매가격">'[3]기본작업-2'!#REF!</definedName>
    <definedName name="학점이">#REF!</definedName>
    <definedName name="학점표">#REF!</definedName>
    <definedName name="할인율">'[2]분석작업-1'!#REF!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4" l="1"/>
  <c r="H30" i="23"/>
  <c r="H31" i="23"/>
  <c r="H32" i="23"/>
  <c r="H33" i="23"/>
  <c r="H34" i="23"/>
  <c r="H35" i="23"/>
  <c r="H36" i="23"/>
  <c r="H29" i="23"/>
  <c r="D37" i="23"/>
  <c r="D24" i="23"/>
  <c r="I4" i="23"/>
  <c r="I5" i="23"/>
  <c r="I6" i="23"/>
  <c r="I7" i="23"/>
  <c r="I8" i="23"/>
  <c r="I9" i="23"/>
  <c r="I3" i="23"/>
  <c r="D4" i="23"/>
  <c r="D5" i="23"/>
  <c r="D6" i="23"/>
  <c r="D7" i="23"/>
  <c r="D8" i="23"/>
  <c r="D9" i="23"/>
  <c r="D3" i="23"/>
  <c r="D29" i="44"/>
  <c r="D30" i="44"/>
  <c r="D31" i="44"/>
  <c r="D32" i="44"/>
  <c r="D33" i="44"/>
  <c r="D34" i="44"/>
  <c r="D35" i="44"/>
  <c r="D36" i="44"/>
  <c r="D28" i="44"/>
  <c r="I17" i="44"/>
  <c r="I18" i="44"/>
  <c r="I19" i="44"/>
  <c r="I20" i="44"/>
  <c r="I21" i="44"/>
  <c r="I22" i="44"/>
  <c r="I23" i="44"/>
  <c r="I24" i="44"/>
  <c r="I16" i="44"/>
  <c r="B24" i="44"/>
  <c r="I4" i="44"/>
  <c r="I5" i="44"/>
  <c r="I6" i="44"/>
  <c r="I7" i="44"/>
  <c r="I8" i="44"/>
  <c r="I9" i="44"/>
  <c r="I10" i="44"/>
  <c r="I11" i="44"/>
  <c r="I12" i="44"/>
  <c r="I3" i="44"/>
  <c r="D4" i="44"/>
  <c r="D5" i="44"/>
  <c r="D6" i="44"/>
  <c r="D7" i="44"/>
  <c r="D8" i="44"/>
  <c r="D3" i="44"/>
  <c r="K26" i="43"/>
  <c r="K27" i="43"/>
  <c r="K28" i="43"/>
  <c r="K29" i="43"/>
  <c r="K30" i="43"/>
  <c r="K31" i="43"/>
  <c r="K32" i="43"/>
  <c r="K33" i="43"/>
  <c r="K25" i="43"/>
  <c r="C37" i="43"/>
  <c r="D15" i="43"/>
  <c r="D16" i="43"/>
  <c r="D17" i="43"/>
  <c r="D18" i="43"/>
  <c r="D19" i="43"/>
  <c r="D20" i="43"/>
  <c r="D21" i="43"/>
  <c r="D14" i="43"/>
  <c r="I4" i="43"/>
  <c r="I5" i="43"/>
  <c r="I6" i="43"/>
  <c r="I7" i="43"/>
  <c r="I8" i="43"/>
  <c r="I9" i="43"/>
  <c r="I10" i="43"/>
  <c r="I3" i="43"/>
  <c r="D4" i="43"/>
  <c r="D5" i="43"/>
  <c r="D6" i="43"/>
  <c r="D7" i="43"/>
  <c r="D8" i="43"/>
  <c r="D9" i="43"/>
  <c r="D10" i="43"/>
  <c r="D3" i="43"/>
  <c r="D29" i="42"/>
  <c r="D30" i="42"/>
  <c r="D31" i="42"/>
  <c r="D32" i="42"/>
  <c r="D33" i="42"/>
  <c r="D34" i="42"/>
  <c r="D35" i="42"/>
  <c r="D36" i="42"/>
  <c r="D37" i="42"/>
  <c r="D28" i="42"/>
  <c r="I16" i="42"/>
  <c r="I17" i="42"/>
  <c r="I18" i="42"/>
  <c r="I19" i="42"/>
  <c r="I20" i="42"/>
  <c r="I21" i="42"/>
  <c r="I22" i="42"/>
  <c r="I23" i="42"/>
  <c r="I24" i="42"/>
  <c r="I15" i="42"/>
  <c r="E16" i="42"/>
  <c r="E17" i="42"/>
  <c r="E18" i="42"/>
  <c r="E19" i="42"/>
  <c r="E20" i="42"/>
  <c r="E21" i="42"/>
  <c r="E22" i="42"/>
  <c r="E23" i="42"/>
  <c r="E24" i="42"/>
  <c r="E15" i="42"/>
  <c r="I11" i="42"/>
  <c r="D3" i="42"/>
  <c r="E29" i="41"/>
  <c r="E30" i="41"/>
  <c r="E31" i="41"/>
  <c r="E32" i="41"/>
  <c r="E33" i="41"/>
  <c r="E34" i="41"/>
  <c r="E35" i="41"/>
  <c r="E36" i="41"/>
  <c r="E28" i="41"/>
  <c r="J17" i="41"/>
  <c r="J18" i="41"/>
  <c r="J19" i="41"/>
  <c r="J20" i="41"/>
  <c r="J21" i="41"/>
  <c r="J22" i="41"/>
  <c r="J23" i="41"/>
  <c r="J24" i="41"/>
  <c r="J16" i="41"/>
  <c r="F17" i="41"/>
  <c r="F18" i="41"/>
  <c r="F19" i="41"/>
  <c r="F20" i="41"/>
  <c r="F21" i="41"/>
  <c r="F22" i="41"/>
  <c r="F23" i="41"/>
  <c r="F24" i="41"/>
  <c r="F16" i="41"/>
  <c r="J4" i="41"/>
  <c r="J5" i="41"/>
  <c r="J6" i="41"/>
  <c r="J7" i="41"/>
  <c r="J8" i="41"/>
  <c r="J9" i="41"/>
  <c r="J10" i="41"/>
  <c r="J11" i="41"/>
  <c r="J12" i="41"/>
  <c r="J3" i="41"/>
  <c r="E12" i="41"/>
  <c r="E32" i="56"/>
  <c r="K17" i="56"/>
  <c r="K18" i="56"/>
  <c r="K19" i="56"/>
  <c r="K20" i="56"/>
  <c r="K21" i="56"/>
  <c r="K22" i="56"/>
  <c r="K16" i="56"/>
  <c r="E17" i="56"/>
  <c r="E18" i="56"/>
  <c r="E19" i="56"/>
  <c r="E20" i="56"/>
  <c r="E21" i="56"/>
  <c r="E22" i="56"/>
  <c r="E16" i="56"/>
  <c r="K12" i="56"/>
  <c r="I12" i="56"/>
  <c r="J12" i="56"/>
  <c r="H12" i="56"/>
  <c r="D12" i="56"/>
  <c r="E39" i="50"/>
  <c r="D39" i="50"/>
  <c r="J14" i="50"/>
  <c r="J15" i="50"/>
  <c r="J16" i="50"/>
  <c r="J17" i="50"/>
  <c r="J18" i="50"/>
  <c r="J19" i="50"/>
  <c r="J20" i="50"/>
  <c r="J13" i="50"/>
  <c r="D23" i="50"/>
  <c r="H5" i="50"/>
  <c r="H6" i="50"/>
  <c r="H7" i="50"/>
  <c r="H8" i="50"/>
  <c r="H9" i="50"/>
  <c r="H4" i="50"/>
  <c r="D4" i="50"/>
  <c r="D5" i="50"/>
  <c r="D6" i="50"/>
  <c r="D7" i="50"/>
  <c r="D8" i="50"/>
  <c r="D9" i="50"/>
  <c r="D3" i="50"/>
  <c r="D34" i="49"/>
  <c r="I20" i="49"/>
  <c r="I21" i="49"/>
  <c r="I22" i="49"/>
  <c r="I23" i="49"/>
  <c r="I24" i="49"/>
  <c r="I25" i="49"/>
  <c r="I26" i="49"/>
  <c r="I19" i="49"/>
  <c r="D15" i="49"/>
  <c r="D16" i="49"/>
  <c r="D17" i="49"/>
  <c r="D18" i="49"/>
  <c r="D14" i="49"/>
  <c r="H13" i="49"/>
  <c r="D10" i="49"/>
  <c r="E35" i="48"/>
  <c r="H17" i="48"/>
  <c r="H18" i="48"/>
  <c r="H19" i="48"/>
  <c r="H20" i="48"/>
  <c r="H21" i="48"/>
  <c r="H22" i="48"/>
  <c r="H23" i="48"/>
  <c r="H24" i="48"/>
  <c r="H16" i="48"/>
  <c r="D24" i="48"/>
  <c r="I3" i="48"/>
  <c r="I4" i="48"/>
  <c r="I5" i="48"/>
  <c r="I6" i="48"/>
  <c r="I7" i="48"/>
  <c r="I8" i="48"/>
  <c r="I9" i="48"/>
  <c r="I10" i="48"/>
  <c r="I11" i="48"/>
  <c r="I12" i="48"/>
  <c r="D12" i="48"/>
  <c r="F35" i="54"/>
  <c r="M16" i="54"/>
  <c r="M17" i="54"/>
  <c r="M18" i="54"/>
  <c r="M19" i="54"/>
  <c r="M15" i="54"/>
  <c r="E23" i="54"/>
  <c r="L8" i="54"/>
  <c r="D4" i="54"/>
  <c r="D5" i="54"/>
  <c r="D6" i="54"/>
  <c r="D7" i="54"/>
  <c r="D8" i="54"/>
  <c r="D9" i="54"/>
  <c r="D10" i="54"/>
  <c r="D3" i="54"/>
  <c r="D29" i="55"/>
  <c r="D30" i="55"/>
  <c r="D31" i="55"/>
  <c r="D32" i="55"/>
  <c r="D33" i="55"/>
  <c r="D34" i="55"/>
  <c r="D35" i="55"/>
  <c r="D28" i="55"/>
  <c r="I27" i="55"/>
  <c r="D18" i="55"/>
  <c r="D19" i="55"/>
  <c r="D20" i="55"/>
  <c r="D21" i="55"/>
  <c r="D22" i="55"/>
  <c r="D23" i="55"/>
  <c r="D24" i="55"/>
  <c r="D17" i="55"/>
  <c r="I13" i="55"/>
  <c r="D13" i="55"/>
  <c r="D30" i="40"/>
  <c r="D31" i="40"/>
  <c r="D32" i="40"/>
  <c r="D33" i="40"/>
  <c r="D34" i="40"/>
  <c r="D35" i="40"/>
  <c r="D36" i="40"/>
  <c r="D29" i="40"/>
  <c r="H25" i="40"/>
  <c r="E25" i="40"/>
  <c r="J11" i="40"/>
  <c r="D4" i="40"/>
  <c r="D5" i="40"/>
  <c r="D6" i="40"/>
  <c r="D7" i="40"/>
  <c r="D8" i="40"/>
  <c r="D9" i="40"/>
  <c r="D10" i="40"/>
  <c r="D3" i="40"/>
  <c r="C39" i="39"/>
  <c r="H15" i="39"/>
  <c r="H16" i="39"/>
  <c r="H17" i="39"/>
  <c r="H18" i="39"/>
  <c r="H19" i="39"/>
  <c r="H20" i="39"/>
  <c r="H21" i="39"/>
  <c r="H22" i="39"/>
  <c r="H23" i="39"/>
  <c r="C25" i="39"/>
  <c r="H11" i="39"/>
  <c r="C4" i="39"/>
  <c r="C5" i="39"/>
  <c r="C6" i="39"/>
  <c r="C7" i="39"/>
  <c r="C8" i="39"/>
  <c r="C9" i="39"/>
  <c r="C10" i="39"/>
  <c r="C11" i="39"/>
  <c r="C3" i="39"/>
  <c r="D36" i="38"/>
  <c r="C36" i="38"/>
  <c r="G27" i="38"/>
  <c r="D17" i="38"/>
  <c r="D18" i="38"/>
  <c r="D19" i="38"/>
  <c r="D20" i="38"/>
  <c r="D21" i="38"/>
  <c r="D22" i="38"/>
  <c r="D23" i="38"/>
  <c r="D16" i="38"/>
  <c r="I4" i="38"/>
  <c r="I5" i="38"/>
  <c r="I6" i="38"/>
  <c r="I7" i="38"/>
  <c r="I8" i="38"/>
  <c r="I9" i="38"/>
  <c r="I10" i="38"/>
  <c r="I11" i="38"/>
  <c r="I12" i="38"/>
  <c r="I3" i="38"/>
  <c r="D4" i="38"/>
  <c r="D5" i="38"/>
  <c r="D6" i="38"/>
  <c r="D7" i="38"/>
  <c r="D8" i="38"/>
  <c r="D9" i="38"/>
  <c r="D10" i="38"/>
  <c r="D11" i="38"/>
  <c r="D12" i="38"/>
  <c r="D3" i="38"/>
  <c r="E28" i="47"/>
  <c r="E29" i="47"/>
  <c r="E30" i="47"/>
  <c r="E31" i="47"/>
  <c r="E32" i="47"/>
  <c r="E33" i="47"/>
  <c r="E34" i="47"/>
  <c r="E35" i="47"/>
  <c r="E36" i="47"/>
  <c r="E27" i="47"/>
  <c r="K17" i="47"/>
  <c r="K18" i="47"/>
  <c r="K19" i="47"/>
  <c r="K20" i="47"/>
  <c r="K21" i="47"/>
  <c r="K22" i="47"/>
  <c r="K23" i="47"/>
  <c r="K16" i="47"/>
  <c r="C23" i="47"/>
  <c r="M12" i="47"/>
  <c r="F4" i="47"/>
  <c r="F5" i="47"/>
  <c r="F6" i="47"/>
  <c r="F7" i="47"/>
  <c r="F8" i="47"/>
  <c r="F9" i="47"/>
  <c r="F10" i="47"/>
  <c r="F11" i="47"/>
  <c r="F12" i="47"/>
  <c r="F3" i="47"/>
  <c r="I25" i="26"/>
  <c r="I26" i="26"/>
  <c r="I27" i="26"/>
  <c r="I28" i="26"/>
  <c r="I29" i="26"/>
  <c r="I24" i="26"/>
  <c r="D31" i="26"/>
  <c r="F20" i="26"/>
  <c r="G4" i="26"/>
  <c r="G5" i="26"/>
  <c r="G6" i="26"/>
  <c r="G7" i="26"/>
  <c r="G8" i="26"/>
  <c r="G9" i="26"/>
  <c r="G3" i="26"/>
  <c r="C4" i="26"/>
  <c r="C5" i="26"/>
  <c r="C6" i="26"/>
  <c r="C7" i="26"/>
  <c r="C8" i="26"/>
  <c r="C9" i="26"/>
  <c r="C3" i="26"/>
  <c r="D28" i="46"/>
  <c r="D29" i="46"/>
  <c r="D30" i="46"/>
  <c r="D31" i="46"/>
  <c r="D32" i="46"/>
  <c r="D33" i="46"/>
  <c r="D34" i="46"/>
  <c r="D27" i="46"/>
  <c r="J23" i="46"/>
  <c r="D23" i="46"/>
  <c r="I4" i="46"/>
  <c r="I5" i="46"/>
  <c r="I6" i="46"/>
  <c r="I7" i="46"/>
  <c r="I8" i="46"/>
  <c r="I9" i="46"/>
  <c r="I10" i="46"/>
  <c r="I11" i="46"/>
  <c r="I12" i="46"/>
  <c r="I3" i="46"/>
  <c r="E4" i="46"/>
  <c r="E5" i="46"/>
  <c r="E6" i="46"/>
  <c r="E7" i="46"/>
  <c r="E8" i="46"/>
  <c r="E9" i="46"/>
  <c r="E10" i="46"/>
  <c r="E11" i="46"/>
  <c r="E12" i="46"/>
  <c r="E3" i="46"/>
  <c r="E27" i="45"/>
  <c r="E28" i="45"/>
  <c r="E29" i="45"/>
  <c r="E30" i="45"/>
  <c r="E31" i="45"/>
  <c r="E26" i="45"/>
  <c r="D27" i="45"/>
  <c r="D28" i="45"/>
  <c r="D29" i="45"/>
  <c r="D30" i="45"/>
  <c r="D31" i="45"/>
  <c r="D26" i="45"/>
  <c r="J22" i="45"/>
  <c r="D22" i="45"/>
  <c r="C22" i="45"/>
  <c r="J4" i="45"/>
  <c r="J5" i="45"/>
  <c r="J6" i="45"/>
  <c r="J7" i="45"/>
  <c r="J8" i="45"/>
  <c r="J9" i="45"/>
  <c r="J3" i="45"/>
  <c r="D4" i="45"/>
  <c r="D5" i="45"/>
  <c r="D6" i="45"/>
  <c r="D7" i="45"/>
  <c r="D8" i="45"/>
  <c r="D3" i="45"/>
  <c r="D32" i="52"/>
  <c r="I14" i="52"/>
  <c r="I15" i="52"/>
  <c r="I16" i="52"/>
  <c r="I17" i="52"/>
  <c r="I18" i="52"/>
  <c r="I19" i="52"/>
  <c r="I20" i="52"/>
  <c r="I13" i="52"/>
  <c r="D14" i="52"/>
  <c r="D15" i="52"/>
  <c r="D16" i="52"/>
  <c r="D17" i="52"/>
  <c r="D18" i="52"/>
  <c r="D13" i="52"/>
  <c r="L9" i="52"/>
  <c r="D5" i="52"/>
  <c r="D6" i="52"/>
  <c r="D7" i="52"/>
  <c r="D8" i="52"/>
  <c r="D9" i="52"/>
  <c r="D4" i="52"/>
  <c r="J24" i="55"/>
  <c r="J23" i="55"/>
  <c r="J22" i="55"/>
  <c r="J21" i="55"/>
  <c r="J20" i="55"/>
  <c r="J19" i="55"/>
  <c r="J18" i="55"/>
  <c r="J17" i="55"/>
  <c r="E22" i="54" l="1"/>
  <c r="E21" i="54"/>
  <c r="E20" i="54"/>
  <c r="E19" i="54"/>
  <c r="E18" i="54"/>
  <c r="E17" i="54"/>
  <c r="E16" i="54"/>
  <c r="E15" i="54"/>
  <c r="E36" i="50" l="1"/>
  <c r="E35" i="50"/>
  <c r="E34" i="50"/>
  <c r="E33" i="50"/>
  <c r="E32" i="50"/>
  <c r="E31" i="50"/>
  <c r="E30" i="50"/>
  <c r="E29" i="50"/>
  <c r="E28" i="50"/>
  <c r="D20" i="50"/>
  <c r="D19" i="50"/>
  <c r="D18" i="50"/>
  <c r="D17" i="50"/>
  <c r="D16" i="50"/>
  <c r="D15" i="50"/>
  <c r="D14" i="50"/>
  <c r="D13" i="50"/>
  <c r="J10" i="49" l="1"/>
  <c r="J9" i="49"/>
  <c r="J8" i="49"/>
  <c r="J7" i="49"/>
  <c r="J6" i="49"/>
  <c r="J5" i="49"/>
  <c r="J4" i="49"/>
  <c r="J3" i="49"/>
  <c r="D24" i="42" l="1"/>
  <c r="D23" i="42"/>
  <c r="D22" i="42"/>
  <c r="D21" i="42"/>
  <c r="D20" i="42"/>
  <c r="D19" i="42"/>
  <c r="D18" i="42"/>
  <c r="D17" i="42"/>
  <c r="D16" i="42"/>
  <c r="D15" i="42"/>
  <c r="H10" i="39" l="1"/>
  <c r="H9" i="39"/>
  <c r="H8" i="39"/>
  <c r="H7" i="39"/>
  <c r="H6" i="39"/>
  <c r="H5" i="39"/>
  <c r="H4" i="39"/>
  <c r="H3" i="39"/>
</calcChain>
</file>

<file path=xl/sharedStrings.xml><?xml version="1.0" encoding="utf-8"?>
<sst xmlns="http://schemas.openxmlformats.org/spreadsheetml/2006/main" count="2329" uniqueCount="1724">
  <si>
    <t>[표1]</t>
  </si>
  <si>
    <t>[표2]</t>
  </si>
  <si>
    <t>근무자료</t>
  </si>
  <si>
    <t>성명</t>
  </si>
  <si>
    <t>부서명</t>
  </si>
  <si>
    <t>본봉총액</t>
  </si>
  <si>
    <t>수당</t>
  </si>
  <si>
    <t>갈석근</t>
  </si>
  <si>
    <t>임원실</t>
  </si>
  <si>
    <t>나영희</t>
  </si>
  <si>
    <t>김원택</t>
  </si>
  <si>
    <t>기술부</t>
  </si>
  <si>
    <t>박시영</t>
  </si>
  <si>
    <t>목공순</t>
  </si>
  <si>
    <t>관리부</t>
  </si>
  <si>
    <t>임영아</t>
  </si>
  <si>
    <t>박원점</t>
  </si>
  <si>
    <t>안효동</t>
  </si>
  <si>
    <t>염옥희</t>
  </si>
  <si>
    <t>이신세</t>
  </si>
  <si>
    <t>우명덕</t>
  </si>
  <si>
    <t>우산해</t>
  </si>
  <si>
    <t xml:space="preserve">[표3] </t>
  </si>
  <si>
    <t>경주마 기록</t>
  </si>
  <si>
    <t xml:space="preserve">[표4] </t>
  </si>
  <si>
    <t>완구류 매출</t>
  </si>
  <si>
    <t>출산지</t>
  </si>
  <si>
    <t>말이름</t>
  </si>
  <si>
    <t>몸무게</t>
  </si>
  <si>
    <t>판정</t>
  </si>
  <si>
    <t>제품코드</t>
  </si>
  <si>
    <t>품명</t>
  </si>
  <si>
    <t>판매량</t>
  </si>
  <si>
    <t>판매금액</t>
  </si>
  <si>
    <t>한국</t>
  </si>
  <si>
    <t>까망이</t>
  </si>
  <si>
    <t>Y201K</t>
  </si>
  <si>
    <t>곰인형</t>
  </si>
  <si>
    <t>미국</t>
  </si>
  <si>
    <t>마루</t>
  </si>
  <si>
    <t>B450N</t>
  </si>
  <si>
    <t>놀이동산</t>
  </si>
  <si>
    <t>호주</t>
  </si>
  <si>
    <t>무풍</t>
  </si>
  <si>
    <t>Y203D</t>
  </si>
  <si>
    <t>딸랑이</t>
  </si>
  <si>
    <t>일본</t>
  </si>
  <si>
    <t>백봉산</t>
  </si>
  <si>
    <t>Y012G</t>
  </si>
  <si>
    <t>꼬마인형</t>
  </si>
  <si>
    <t>철마산</t>
  </si>
  <si>
    <t>Y305K</t>
  </si>
  <si>
    <t>흑돌이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</si>
  <si>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</si>
  <si>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</si>
  <si>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</si>
  <si>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</si>
  <si>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</si>
  <si>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</si>
  <si>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</si>
  <si>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</si>
  <si>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</si>
  <si>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코드</t>
  </si>
  <si>
    <t>판매단가</t>
  </si>
  <si>
    <t>고려화학</t>
  </si>
  <si>
    <t>Blue</t>
  </si>
  <si>
    <t>K</t>
  </si>
  <si>
    <t>명지페인트</t>
  </si>
  <si>
    <t>Red300</t>
  </si>
  <si>
    <t>N</t>
  </si>
  <si>
    <t>삼화페인트</t>
  </si>
  <si>
    <t>Violet550</t>
  </si>
  <si>
    <t>D</t>
  </si>
  <si>
    <t xml:space="preserve">Red334 </t>
  </si>
  <si>
    <t>G</t>
  </si>
  <si>
    <t xml:space="preserve">Yellow </t>
  </si>
  <si>
    <t>Y</t>
  </si>
  <si>
    <t>Violet600</t>
  </si>
  <si>
    <t>삼화페인트 판매금액 평균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</si>
  <si>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</si>
  <si>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</si>
  <si>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</si>
  <si>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</si>
  <si>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</si>
  <si>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</si>
  <si>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</si>
  <si>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SG-002</t>
  </si>
  <si>
    <t>D02</t>
  </si>
  <si>
    <t>SG-003</t>
  </si>
  <si>
    <t>G03</t>
  </si>
  <si>
    <t>SG-004</t>
  </si>
  <si>
    <t>B04</t>
  </si>
  <si>
    <t>SG-005</t>
  </si>
  <si>
    <t>K05</t>
  </si>
  <si>
    <t>SG-006</t>
  </si>
  <si>
    <t>S06</t>
  </si>
  <si>
    <t>B07</t>
  </si>
  <si>
    <t>우수</t>
    <phoneticPr fontId="1" type="noConversion"/>
  </si>
  <si>
    <t>[표4]</t>
  </si>
  <si>
    <t>판매 현황</t>
  </si>
  <si>
    <t>[표3]</t>
  </si>
  <si>
    <t>수송 요금표</t>
  </si>
  <si>
    <t>고객명</t>
  </si>
  <si>
    <t>종류</t>
  </si>
  <si>
    <t>단가(B)</t>
  </si>
  <si>
    <t>최종요금</t>
  </si>
  <si>
    <t>1월</t>
  </si>
  <si>
    <t>김정숙</t>
  </si>
  <si>
    <t>특송</t>
  </si>
  <si>
    <t>2월</t>
  </si>
  <si>
    <t>김수자</t>
  </si>
  <si>
    <t>일반</t>
  </si>
  <si>
    <t>3월</t>
  </si>
  <si>
    <t>이민정</t>
  </si>
  <si>
    <t>4월</t>
  </si>
  <si>
    <t>김영균</t>
  </si>
  <si>
    <t>5월</t>
  </si>
  <si>
    <t>박경석</t>
  </si>
  <si>
    <t>6월</t>
  </si>
  <si>
    <t>박영은</t>
  </si>
  <si>
    <t>표준편차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</si>
  <si>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</si>
  <si>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</si>
  <si>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</si>
  <si>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</si>
  <si>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</si>
  <si>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</si>
  <si>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</si>
  <si>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</si>
  <si>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</si>
  <si>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</si>
  <si>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751120-215****</t>
  </si>
  <si>
    <t>김영한</t>
  </si>
  <si>
    <t>771230-112****</t>
  </si>
  <si>
    <t>남시정</t>
  </si>
  <si>
    <t>790519-178****</t>
  </si>
  <si>
    <t>민형자</t>
  </si>
  <si>
    <t>010706-468****</t>
  </si>
  <si>
    <t>등급</t>
  </si>
  <si>
    <t>총점</t>
  </si>
  <si>
    <t>이진수</t>
  </si>
  <si>
    <t>HSP-002</t>
  </si>
  <si>
    <t>HSP-003</t>
  </si>
  <si>
    <t>HSP-004</t>
  </si>
  <si>
    <t>HSP-005</t>
  </si>
  <si>
    <t>HSP-006</t>
  </si>
  <si>
    <t>HSP-007</t>
  </si>
  <si>
    <t>관리부 자녀 현황</t>
  </si>
  <si>
    <t>입사 지원자 현황</t>
  </si>
  <si>
    <t>번호</t>
  </si>
  <si>
    <t>요일</t>
  </si>
  <si>
    <t>김정아</t>
  </si>
  <si>
    <t>박오환</t>
  </si>
  <si>
    <t>김현숙</t>
  </si>
  <si>
    <t>남현우</t>
  </si>
  <si>
    <t>박진만</t>
  </si>
  <si>
    <t>최수현</t>
  </si>
  <si>
    <t>신민식</t>
  </si>
  <si>
    <t>김슬기</t>
  </si>
  <si>
    <t>이진구</t>
  </si>
  <si>
    <t>서인국</t>
  </si>
  <si>
    <t>임경호</t>
  </si>
  <si>
    <t>박영철</t>
  </si>
  <si>
    <t xml:space="preserve"> 직원 승진시험 현황</t>
  </si>
  <si>
    <t>소속</t>
  </si>
  <si>
    <t>영어</t>
  </si>
  <si>
    <t>전산</t>
  </si>
  <si>
    <t>합계</t>
  </si>
  <si>
    <t>김진국</t>
  </si>
  <si>
    <t>경리부</t>
  </si>
  <si>
    <t>박동희</t>
  </si>
  <si>
    <t>서영수</t>
  </si>
  <si>
    <t>영업부</t>
  </si>
  <si>
    <t>강남영</t>
  </si>
  <si>
    <t>명운수</t>
  </si>
  <si>
    <t>이성철</t>
  </si>
  <si>
    <t>김소연</t>
  </si>
  <si>
    <t>조건에 맞는 평균</t>
  </si>
  <si>
    <t>최고수</t>
  </si>
  <si>
    <t xml:space="preserve">[표5] </t>
  </si>
  <si>
    <t>용기별 적재 할당계획</t>
  </si>
  <si>
    <t>고객코드</t>
    <phoneticPr fontId="1" type="noConversion"/>
  </si>
  <si>
    <t>월</t>
  </si>
  <si>
    <t>저장 수량</t>
  </si>
  <si>
    <t>하루 사용량</t>
  </si>
  <si>
    <t>일수(나머지)</t>
  </si>
  <si>
    <t>HS03</t>
  </si>
  <si>
    <t>BC02</t>
  </si>
  <si>
    <t>골드</t>
    <phoneticPr fontId="1" type="noConversion"/>
  </si>
  <si>
    <t>BS01</t>
  </si>
  <si>
    <t>CU02</t>
  </si>
  <si>
    <t>KY01</t>
  </si>
  <si>
    <t>JS02</t>
  </si>
  <si>
    <t>LU03</t>
  </si>
  <si>
    <t>성적 현황</t>
  </si>
  <si>
    <t>판매 실적 대비표</t>
  </si>
  <si>
    <t>학년</t>
  </si>
  <si>
    <t>국어</t>
  </si>
  <si>
    <t>수학</t>
  </si>
  <si>
    <t>김수정</t>
  </si>
  <si>
    <t>OO영업부</t>
  </si>
  <si>
    <t>김병천</t>
  </si>
  <si>
    <t>박정호</t>
  </si>
  <si>
    <t>QQ영업부</t>
  </si>
  <si>
    <t>구자길</t>
  </si>
  <si>
    <t>최아름</t>
  </si>
  <si>
    <t>PP영업부</t>
  </si>
  <si>
    <t>소재광</t>
  </si>
  <si>
    <t>박진수</t>
  </si>
  <si>
    <t>고숙경</t>
  </si>
  <si>
    <t>이영호</t>
  </si>
  <si>
    <t>전용철</t>
  </si>
  <si>
    <t>권민수</t>
  </si>
  <si>
    <t>김완규</t>
  </si>
  <si>
    <t>이강호</t>
  </si>
  <si>
    <t>전희주</t>
  </si>
  <si>
    <t>오원택</t>
  </si>
  <si>
    <t>박상훈</t>
  </si>
  <si>
    <t>차이</t>
  </si>
  <si>
    <t>류큰별</t>
  </si>
  <si>
    <t>학과별 취업현황</t>
  </si>
  <si>
    <t>계열</t>
  </si>
  <si>
    <t>학과별</t>
  </si>
  <si>
    <t>공학</t>
  </si>
  <si>
    <t>기계과</t>
  </si>
  <si>
    <t>자연</t>
  </si>
  <si>
    <t>물리학과</t>
  </si>
  <si>
    <t>화학과</t>
  </si>
  <si>
    <t>건축과</t>
  </si>
  <si>
    <t>토목과</t>
  </si>
  <si>
    <t>미생물학과</t>
  </si>
  <si>
    <t>컴퓨터과</t>
  </si>
  <si>
    <t>공학계열 취업률 평균</t>
  </si>
  <si>
    <t>상품구매 내역</t>
  </si>
  <si>
    <t>대리점</t>
  </si>
  <si>
    <t>상품코드</t>
  </si>
  <si>
    <t>상품명</t>
  </si>
  <si>
    <t>단가</t>
  </si>
  <si>
    <t>금액</t>
  </si>
  <si>
    <t>영등포</t>
  </si>
  <si>
    <t>MW01</t>
  </si>
  <si>
    <t>마우스</t>
  </si>
  <si>
    <t>용산</t>
  </si>
  <si>
    <t>MI01</t>
  </si>
  <si>
    <t>메인보드</t>
  </si>
  <si>
    <t>명동</t>
  </si>
  <si>
    <t>MI07</t>
  </si>
  <si>
    <t>MD02</t>
  </si>
  <si>
    <t>모뎀</t>
  </si>
  <si>
    <t>MW02</t>
  </si>
  <si>
    <t>HD07</t>
  </si>
  <si>
    <t>하드디스크</t>
  </si>
  <si>
    <t>HD05</t>
  </si>
  <si>
    <t>KB03</t>
  </si>
  <si>
    <t>키보드</t>
  </si>
  <si>
    <t>KB05</t>
  </si>
  <si>
    <t>MW03</t>
  </si>
  <si>
    <t>MW</t>
  </si>
  <si>
    <t>MI</t>
  </si>
  <si>
    <t>MD</t>
  </si>
  <si>
    <t>KB</t>
  </si>
  <si>
    <t>HD</t>
  </si>
  <si>
    <t>경매 현황</t>
  </si>
  <si>
    <t>사원별 판매 현황</t>
  </si>
  <si>
    <t>품목</t>
  </si>
  <si>
    <t>입찰가</t>
  </si>
  <si>
    <t>낙찰가</t>
  </si>
  <si>
    <t>영업소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</si>
  <si>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</si>
  <si>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</si>
  <si>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</si>
  <si>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</si>
  <si>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</si>
  <si>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</si>
  <si>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</si>
  <si>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</si>
  <si>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</si>
  <si>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</si>
  <si>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</si>
  <si>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  <phoneticPr fontId="1" type="noConversion"/>
  </si>
  <si>
    <t>직원 근무 평가</t>
  </si>
  <si>
    <t>입사일</t>
  </si>
  <si>
    <t>근무점수</t>
  </si>
  <si>
    <t>신정희</t>
  </si>
  <si>
    <t>냉장고</t>
  </si>
  <si>
    <t>김용태</t>
  </si>
  <si>
    <t>세탁기</t>
  </si>
  <si>
    <t>김진영</t>
  </si>
  <si>
    <t>선풍기</t>
  </si>
  <si>
    <t>유현숙</t>
  </si>
  <si>
    <t>최정렬</t>
  </si>
  <si>
    <t>강창희</t>
  </si>
  <si>
    <t>천영주</t>
  </si>
  <si>
    <t>박인수</t>
  </si>
  <si>
    <t xml:space="preserve"> 전자상거래사 시험 성적 </t>
  </si>
  <si>
    <t>직업</t>
  </si>
  <si>
    <t>필기시험</t>
  </si>
  <si>
    <t>실기시험</t>
  </si>
  <si>
    <t>합격여부</t>
  </si>
  <si>
    <t>70점대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</si>
  <si>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</si>
  <si>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</si>
  <si>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</si>
  <si>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</si>
  <si>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</si>
  <si>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</si>
  <si>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</si>
  <si>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</si>
  <si>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</si>
  <si>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</si>
  <si>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</si>
  <si>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</si>
  <si>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</si>
  <si>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</si>
  <si>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</si>
  <si>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</si>
  <si>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</si>
  <si>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</si>
  <si>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 xml:space="preserve">[표2] </t>
  </si>
  <si>
    <t>SE-02</t>
  </si>
  <si>
    <t>SE-03</t>
  </si>
  <si>
    <t>HA-02</t>
  </si>
  <si>
    <t>HA-03</t>
  </si>
  <si>
    <t>신제품 판매 현황</t>
  </si>
  <si>
    <t>사원명</t>
  </si>
  <si>
    <t>지점명</t>
  </si>
  <si>
    <t>직위</t>
  </si>
  <si>
    <t>기본급</t>
  </si>
  <si>
    <t>나유미</t>
  </si>
  <si>
    <t>중부</t>
  </si>
  <si>
    <t>김호정</t>
  </si>
  <si>
    <t>남부</t>
  </si>
  <si>
    <t>강호동</t>
  </si>
  <si>
    <t>북부</t>
  </si>
  <si>
    <t>김기탁</t>
  </si>
  <si>
    <t>남영주</t>
  </si>
  <si>
    <t>성우철</t>
  </si>
  <si>
    <t>도지원</t>
  </si>
  <si>
    <t>임수인</t>
  </si>
  <si>
    <t>태현실</t>
  </si>
  <si>
    <t>중부판매금액</t>
  </si>
  <si>
    <t>사원 급여 현황</t>
  </si>
  <si>
    <t>급여</t>
  </si>
  <si>
    <t>홍기남</t>
  </si>
  <si>
    <t>기획부</t>
  </si>
  <si>
    <t>이기자</t>
  </si>
  <si>
    <t>총무부</t>
  </si>
  <si>
    <t>차후서</t>
  </si>
  <si>
    <t>인사부</t>
  </si>
  <si>
    <t>허인기</t>
  </si>
  <si>
    <t>김인자</t>
  </si>
  <si>
    <t>박혁제</t>
  </si>
  <si>
    <t>김순례</t>
  </si>
  <si>
    <t>우인철</t>
  </si>
  <si>
    <t>개발부</t>
  </si>
  <si>
    <t>유철민</t>
  </si>
  <si>
    <t>기획부 제외 평균</t>
  </si>
  <si>
    <t>남산㈜ 승진시험 성적 현황</t>
  </si>
  <si>
    <t>남</t>
  </si>
  <si>
    <t>김명훈</t>
  </si>
  <si>
    <t>서태훈</t>
  </si>
  <si>
    <t>강수현</t>
  </si>
  <si>
    <t>여</t>
  </si>
  <si>
    <t>정미숙</t>
  </si>
  <si>
    <t>김보람</t>
  </si>
  <si>
    <t>최정민</t>
  </si>
  <si>
    <t>급여 현황</t>
  </si>
  <si>
    <t xml:space="preserve"> 교양 점수 현황</t>
  </si>
  <si>
    <t>호봉</t>
  </si>
  <si>
    <t>근속기간</t>
  </si>
  <si>
    <t>학과</t>
  </si>
  <si>
    <t>사원</t>
  </si>
  <si>
    <t>김혜자</t>
  </si>
  <si>
    <t>과장</t>
  </si>
  <si>
    <t>최불암</t>
  </si>
  <si>
    <t>전현수</t>
  </si>
  <si>
    <t>박미선</t>
  </si>
  <si>
    <t>하현호</t>
  </si>
  <si>
    <t>경영과</t>
  </si>
  <si>
    <t>대리</t>
  </si>
  <si>
    <t>허영란</t>
  </si>
  <si>
    <t>강진성</t>
  </si>
  <si>
    <t>강남길</t>
  </si>
  <si>
    <t>박희선</t>
  </si>
  <si>
    <t>신혜선</t>
  </si>
  <si>
    <t>엄정희</t>
  </si>
  <si>
    <t>표인봉</t>
  </si>
  <si>
    <t>이성식</t>
  </si>
  <si>
    <t>이봉주</t>
  </si>
  <si>
    <t>김영희</t>
  </si>
  <si>
    <t>기본급 차이</t>
  </si>
  <si>
    <t>영어평균</t>
  </si>
  <si>
    <t>김한국</t>
  </si>
  <si>
    <t>정미애</t>
  </si>
  <si>
    <t>강현태</t>
  </si>
  <si>
    <t>강수정</t>
  </si>
  <si>
    <t>최현우</t>
  </si>
  <si>
    <t>박미정</t>
  </si>
  <si>
    <t>안혁진</t>
  </si>
  <si>
    <t>A</t>
  </si>
  <si>
    <t>B</t>
  </si>
  <si>
    <t>장학금</t>
  </si>
  <si>
    <t>학번</t>
  </si>
  <si>
    <t>박성재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</si>
  <si>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</si>
  <si>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</si>
  <si>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</si>
  <si>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</si>
  <si>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</si>
  <si>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</si>
  <si>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</si>
  <si>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</si>
  <si>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</si>
  <si>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</si>
  <si>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</si>
  <si>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 xml:space="preserve">인사 자료 </t>
  </si>
  <si>
    <t>근무평가표</t>
  </si>
  <si>
    <t>평점</t>
  </si>
  <si>
    <t>업무</t>
  </si>
  <si>
    <t>근태</t>
  </si>
  <si>
    <t>김정훈</t>
  </si>
  <si>
    <t>오석현</t>
  </si>
  <si>
    <t>이영선</t>
  </si>
  <si>
    <t>임현재</t>
  </si>
  <si>
    <t>남정왕</t>
  </si>
  <si>
    <t>고인숙</t>
  </si>
  <si>
    <t>황정은</t>
  </si>
  <si>
    <t>성시율</t>
  </si>
  <si>
    <t>여사원 평균</t>
  </si>
  <si>
    <t>배순용</t>
  </si>
  <si>
    <t>하길주</t>
  </si>
  <si>
    <t>이선호</t>
  </si>
  <si>
    <t>강성수</t>
  </si>
  <si>
    <t>판매현황</t>
  </si>
  <si>
    <t>판매일</t>
  </si>
  <si>
    <t>판매요일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</si>
  <si>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</si>
  <si>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</si>
  <si>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</si>
  <si>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</si>
  <si>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</si>
  <si>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</si>
  <si>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</si>
  <si>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</si>
  <si>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</si>
  <si>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</si>
  <si>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삼성상사</t>
  </si>
  <si>
    <t>A-30104</t>
  </si>
  <si>
    <t>B-22100</t>
  </si>
  <si>
    <t>B-22101</t>
  </si>
  <si>
    <t>B-22102</t>
  </si>
  <si>
    <t>B-22103</t>
  </si>
  <si>
    <t>C-34001</t>
  </si>
  <si>
    <t>엑스트라 출연일지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</si>
  <si>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</si>
  <si>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</si>
  <si>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</si>
  <si>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</si>
  <si>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</si>
  <si>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</si>
  <si>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</si>
  <si>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</si>
  <si>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</si>
  <si>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</si>
  <si>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</si>
  <si>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</si>
  <si>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</si>
  <si>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</si>
  <si>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</si>
  <si>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</si>
  <si>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</si>
  <si>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</si>
  <si>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</si>
  <si>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</si>
  <si>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</si>
  <si>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</si>
  <si>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</si>
  <si>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</si>
  <si>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이수진</t>
  </si>
  <si>
    <t>[표1]</t>
    <phoneticPr fontId="1" type="noConversion"/>
  </si>
  <si>
    <t>제품판매현황</t>
  </si>
  <si>
    <t>수험번호</t>
  </si>
  <si>
    <t>1과목</t>
  </si>
  <si>
    <t>2과목</t>
  </si>
  <si>
    <t>[표4]</t>
    <phoneticPr fontId="1" type="noConversion"/>
  </si>
  <si>
    <t>회원명</t>
  </si>
  <si>
    <t>[표5]</t>
    <phoneticPr fontId="1" type="noConversion"/>
  </si>
  <si>
    <t>[표2]</t>
    <phoneticPr fontId="1" type="noConversion"/>
  </si>
  <si>
    <t>성명</t>
    <phoneticPr fontId="1" type="noConversion"/>
  </si>
  <si>
    <t>등급</t>
    <phoneticPr fontId="1" type="noConversion"/>
  </si>
  <si>
    <t>주민등록번호</t>
    <phoneticPr fontId="1" type="noConversion"/>
  </si>
  <si>
    <t>CMK-02</t>
  </si>
  <si>
    <t>판매실적</t>
  </si>
  <si>
    <t>예매량</t>
  </si>
  <si>
    <t>부장</t>
  </si>
  <si>
    <t>순위</t>
  </si>
  <si>
    <t>학생명</t>
  </si>
  <si>
    <t>평균</t>
  </si>
  <si>
    <t>생산부</t>
  </si>
  <si>
    <t>지점</t>
  </si>
  <si>
    <t>판매총액</t>
  </si>
  <si>
    <t>S</t>
  </si>
  <si>
    <t>M</t>
  </si>
  <si>
    <t>[표2]</t>
    <phoneticPr fontId="1" type="noConversion"/>
  </si>
  <si>
    <t>응시지역</t>
  </si>
  <si>
    <t>응시일</t>
  </si>
  <si>
    <t>요일</t>
    <phoneticPr fontId="1" type="noConversion"/>
  </si>
  <si>
    <t>중간고사</t>
  </si>
  <si>
    <t>기말고사</t>
  </si>
  <si>
    <t>학점</t>
    <phoneticPr fontId="1" type="noConversion"/>
  </si>
  <si>
    <t>광주</t>
  </si>
  <si>
    <t>김종민</t>
  </si>
  <si>
    <t>김미정</t>
  </si>
  <si>
    <t>서울</t>
  </si>
  <si>
    <t>강원철</t>
  </si>
  <si>
    <t>서진수</t>
  </si>
  <si>
    <t>안양</t>
  </si>
  <si>
    <t>박주영</t>
  </si>
  <si>
    <t>박정민</t>
  </si>
  <si>
    <t>원영현</t>
  </si>
  <si>
    <t>한수경</t>
  </si>
  <si>
    <t>오선영</t>
  </si>
  <si>
    <t>제주</t>
  </si>
  <si>
    <t>유미진</t>
  </si>
  <si>
    <t>최은미</t>
  </si>
  <si>
    <t>대전</t>
  </si>
  <si>
    <t>정미영</t>
  </si>
  <si>
    <t>박진희</t>
  </si>
  <si>
    <t>&lt;학점기준표&gt;</t>
    <phoneticPr fontId="1" type="noConversion"/>
  </si>
  <si>
    <t>[표3]</t>
    <phoneticPr fontId="1" type="noConversion"/>
  </si>
  <si>
    <t>컴퓨터학과</t>
  </si>
  <si>
    <t>유창상</t>
  </si>
  <si>
    <t>학점</t>
  </si>
  <si>
    <t>F</t>
    <phoneticPr fontId="1" type="noConversion"/>
  </si>
  <si>
    <t>D</t>
    <phoneticPr fontId="1" type="noConversion"/>
  </si>
  <si>
    <t>C</t>
    <phoneticPr fontId="1" type="noConversion"/>
  </si>
  <si>
    <t>경영학과</t>
  </si>
  <si>
    <t>김현수</t>
  </si>
  <si>
    <t>한경수</t>
  </si>
  <si>
    <t>정수연</t>
  </si>
  <si>
    <t>정보통신과</t>
  </si>
  <si>
    <t>최경철</t>
  </si>
  <si>
    <t>오태환</t>
  </si>
  <si>
    <t>임장미</t>
  </si>
  <si>
    <t>이민호</t>
  </si>
  <si>
    <t>조건</t>
    <phoneticPr fontId="1" type="noConversion"/>
  </si>
  <si>
    <t>경영학과 평균 평점</t>
    <phoneticPr fontId="1" type="noConversion"/>
  </si>
  <si>
    <t>[표4]</t>
    <phoneticPr fontId="1" type="noConversion"/>
  </si>
  <si>
    <t>[표5]</t>
    <phoneticPr fontId="1" type="noConversion"/>
  </si>
  <si>
    <t>커뮤니케이션</t>
  </si>
  <si>
    <t>회계</t>
  </si>
  <si>
    <t>경영전략</t>
  </si>
  <si>
    <t>입학일자</t>
  </si>
  <si>
    <t>입학코드</t>
    <phoneticPr fontId="1" type="noConversion"/>
  </si>
  <si>
    <t>HEALTHCARE</t>
  </si>
  <si>
    <t>COMPUTER</t>
  </si>
  <si>
    <t>DESIGN</t>
  </si>
  <si>
    <t>ARTS-THERAPY</t>
  </si>
  <si>
    <t>모든 과목이 70 이상인 학생 수</t>
    <phoneticPr fontId="1" type="noConversion"/>
  </si>
  <si>
    <t>[표1]</t>
    <phoneticPr fontId="1" type="noConversion"/>
  </si>
  <si>
    <t>매출액</t>
  </si>
  <si>
    <t>상여금</t>
  </si>
  <si>
    <t>동부</t>
  </si>
  <si>
    <t>김연주</t>
  </si>
  <si>
    <t>박영덕</t>
  </si>
  <si>
    <t>서부</t>
  </si>
  <si>
    <t>홍기민</t>
  </si>
  <si>
    <t>주민경</t>
  </si>
  <si>
    <t>채동식</t>
  </si>
  <si>
    <t>태진형</t>
  </si>
  <si>
    <t>이민섭</t>
  </si>
  <si>
    <t>최민수</t>
  </si>
  <si>
    <t>길기훈</t>
  </si>
  <si>
    <t>1위</t>
  </si>
  <si>
    <t>김평주</t>
  </si>
  <si>
    <t>주임</t>
  </si>
  <si>
    <t>남재영</t>
  </si>
  <si>
    <t>한서라</t>
  </si>
  <si>
    <t>민기영</t>
  </si>
  <si>
    <t>2위</t>
  </si>
  <si>
    <t>이국선</t>
  </si>
  <si>
    <t>박소연</t>
  </si>
  <si>
    <t>송나정</t>
  </si>
  <si>
    <t>동부지점 합계</t>
    <phoneticPr fontId="1" type="noConversion"/>
  </si>
  <si>
    <t>상여금이 1,200,000원 보다 크면서, 
평균 기본급 이상인 인원수</t>
    <phoneticPr fontId="1" type="noConversion"/>
  </si>
  <si>
    <t>[표3]</t>
    <phoneticPr fontId="1" type="noConversion"/>
  </si>
  <si>
    <t>성별</t>
    <phoneticPr fontId="1" type="noConversion"/>
  </si>
  <si>
    <t>국사</t>
  </si>
  <si>
    <t>상식</t>
  </si>
  <si>
    <t>순위</t>
    <phoneticPr fontId="1" type="noConversion"/>
  </si>
  <si>
    <t>M1602001</t>
  </si>
  <si>
    <t>이민영</t>
  </si>
  <si>
    <t>990218-2******</t>
    <phoneticPr fontId="1" type="noConversion"/>
  </si>
  <si>
    <t>이후정</t>
  </si>
  <si>
    <t>M1602002</t>
  </si>
  <si>
    <t>도홍진</t>
  </si>
  <si>
    <t>010802-3******</t>
    <phoneticPr fontId="1" type="noConversion"/>
  </si>
  <si>
    <t>백천경</t>
  </si>
  <si>
    <t>M1602003</t>
  </si>
  <si>
    <t>박수진</t>
  </si>
  <si>
    <t>011115-4******</t>
    <phoneticPr fontId="1" type="noConversion"/>
  </si>
  <si>
    <t>민경배</t>
  </si>
  <si>
    <t>M1602004</t>
  </si>
  <si>
    <t>최만수</t>
  </si>
  <si>
    <t>980723-1******</t>
    <phoneticPr fontId="1" type="noConversion"/>
  </si>
  <si>
    <t>김태하</t>
  </si>
  <si>
    <t>M1602005</t>
  </si>
  <si>
    <t>조용덕</t>
  </si>
  <si>
    <t>991225-1******</t>
    <phoneticPr fontId="1" type="noConversion"/>
  </si>
  <si>
    <t>이사랑</t>
  </si>
  <si>
    <t>M1602006</t>
  </si>
  <si>
    <t>김태훈</t>
  </si>
  <si>
    <t>021222-3******</t>
    <phoneticPr fontId="1" type="noConversion"/>
  </si>
  <si>
    <t>곽난영</t>
  </si>
  <si>
    <t>M1602007</t>
  </si>
  <si>
    <t>편승주</t>
  </si>
  <si>
    <t>010123-3******</t>
    <phoneticPr fontId="1" type="noConversion"/>
  </si>
  <si>
    <t>장채리</t>
  </si>
  <si>
    <t>M1602008</t>
  </si>
  <si>
    <t>곽나래</t>
  </si>
  <si>
    <t>001015-4******</t>
    <phoneticPr fontId="1" type="noConversion"/>
  </si>
  <si>
    <t>봉전미</t>
  </si>
  <si>
    <t>[표5]</t>
    <phoneticPr fontId="1" type="noConversion"/>
  </si>
  <si>
    <t>원서번호</t>
  </si>
  <si>
    <t>거주지</t>
  </si>
  <si>
    <t>지원학과</t>
    <phoneticPr fontId="1" type="noConversion"/>
  </si>
  <si>
    <t>M-120</t>
  </si>
  <si>
    <t>이민수</t>
  </si>
  <si>
    <t>서울시 강북구</t>
  </si>
  <si>
    <t>N-082</t>
  </si>
  <si>
    <t>김병훈</t>
  </si>
  <si>
    <t>대전시 대덕구</t>
  </si>
  <si>
    <t>S-035</t>
  </si>
  <si>
    <t>최주영</t>
  </si>
  <si>
    <t>인천시 남동구</t>
  </si>
  <si>
    <t>M-072</t>
  </si>
  <si>
    <t>길미라</t>
  </si>
  <si>
    <t>서울시 성북구</t>
  </si>
  <si>
    <t>S-141</t>
  </si>
  <si>
    <t>나태후</t>
  </si>
  <si>
    <t>경기도 김포시</t>
  </si>
  <si>
    <t>N-033</t>
  </si>
  <si>
    <t>전영태</t>
  </si>
  <si>
    <t>경기도 고양시</t>
  </si>
  <si>
    <t>M-037</t>
  </si>
  <si>
    <t>조영선</t>
  </si>
  <si>
    <t>강원도 춘천시</t>
  </si>
  <si>
    <t>A-028</t>
  </si>
  <si>
    <t>박민혜</t>
  </si>
  <si>
    <t>서울시 마포구</t>
  </si>
  <si>
    <t>학과코드</t>
  </si>
  <si>
    <t>학 과 명</t>
  </si>
  <si>
    <t>소프트웨어</t>
  </si>
  <si>
    <t>네트워크</t>
  </si>
  <si>
    <t>멀티미디어</t>
  </si>
  <si>
    <t xml:space="preserve">[표1] </t>
  </si>
  <si>
    <t>김은소</t>
    <phoneticPr fontId="1" type="noConversion"/>
  </si>
  <si>
    <t>951011-219****</t>
    <phoneticPr fontId="1" type="noConversion"/>
  </si>
  <si>
    <t>011210-418****</t>
    <phoneticPr fontId="1" type="noConversion"/>
  </si>
  <si>
    <t>910221-118****</t>
    <phoneticPr fontId="1" type="noConversion"/>
  </si>
  <si>
    <t>001211-302****</t>
    <phoneticPr fontId="1" type="noConversion"/>
  </si>
  <si>
    <t>940211-114****</t>
    <phoneticPr fontId="1" type="noConversion"/>
  </si>
  <si>
    <t>960501-127****</t>
    <phoneticPr fontId="1" type="noConversion"/>
  </si>
  <si>
    <t>최시아</t>
    <phoneticPr fontId="1" type="noConversion"/>
  </si>
  <si>
    <t>930501-127****</t>
    <phoneticPr fontId="1" type="noConversion"/>
  </si>
  <si>
    <t>고객관리현황</t>
    <phoneticPr fontId="1" type="noConversion"/>
  </si>
  <si>
    <t>구입수량</t>
    <phoneticPr fontId="1" type="noConversion"/>
  </si>
  <si>
    <t>구입총액</t>
    <phoneticPr fontId="1" type="noConversion"/>
  </si>
  <si>
    <t>일반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</si>
  <si>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</si>
  <si>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</si>
  <si>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</si>
  <si>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실버</t>
    <phoneticPr fontId="1" type="noConversion"/>
  </si>
  <si>
    <t>골드</t>
    <phoneticPr fontId="1" type="noConversion"/>
  </si>
  <si>
    <t>구입빈도 높은 구입총액 합계</t>
    <phoneticPr fontId="1" type="noConversion"/>
  </si>
  <si>
    <t>인사고과 결과</t>
    <phoneticPr fontId="1" type="noConversion"/>
  </si>
  <si>
    <t>평가</t>
    <phoneticPr fontId="1" type="noConversion"/>
  </si>
  <si>
    <t>SG-001</t>
    <phoneticPr fontId="1" type="noConversion"/>
  </si>
  <si>
    <t>&lt;평가표&gt;</t>
    <phoneticPr fontId="1" type="noConversion"/>
  </si>
  <si>
    <t>1월</t>
    <phoneticPr fontId="1" type="noConversion"/>
  </si>
  <si>
    <t>생산A</t>
    <phoneticPr fontId="1" type="noConversion"/>
  </si>
  <si>
    <t>생산B</t>
    <phoneticPr fontId="1" type="noConversion"/>
  </si>
  <si>
    <t>2월</t>
    <phoneticPr fontId="1" type="noConversion"/>
  </si>
  <si>
    <t>3월</t>
    <phoneticPr fontId="1" type="noConversion"/>
  </si>
  <si>
    <t>생산량 합계</t>
    <phoneticPr fontId="1" type="noConversion"/>
  </si>
  <si>
    <t>대구</t>
    <phoneticPr fontId="1" type="noConversion"/>
  </si>
  <si>
    <t>점수</t>
    <phoneticPr fontId="1" type="noConversion"/>
  </si>
  <si>
    <t>부산</t>
    <phoneticPr fontId="1" type="noConversion"/>
  </si>
  <si>
    <t>비고</t>
    <phoneticPr fontId="1" type="noConversion"/>
  </si>
  <si>
    <t>판매량</t>
    <phoneticPr fontId="1" type="noConversion"/>
  </si>
  <si>
    <t>결과</t>
    <phoneticPr fontId="1" type="noConversion"/>
  </si>
  <si>
    <t>공책A</t>
    <phoneticPr fontId="1" type="noConversion"/>
  </si>
  <si>
    <t>연필A</t>
    <phoneticPr fontId="1" type="noConversion"/>
  </si>
  <si>
    <t>게임A</t>
    <phoneticPr fontId="1" type="noConversion"/>
  </si>
  <si>
    <t>연필B</t>
    <phoneticPr fontId="1" type="noConversion"/>
  </si>
  <si>
    <t>게임B</t>
    <phoneticPr fontId="1" type="noConversion"/>
  </si>
  <si>
    <t>게임C</t>
    <phoneticPr fontId="1" type="noConversion"/>
  </si>
  <si>
    <t>연필C</t>
    <phoneticPr fontId="1" type="noConversion"/>
  </si>
  <si>
    <t>공책B</t>
    <phoneticPr fontId="1" type="noConversion"/>
  </si>
  <si>
    <t>부산</t>
    <phoneticPr fontId="1" type="noConversion"/>
  </si>
  <si>
    <t>공책C</t>
    <phoneticPr fontId="1" type="noConversion"/>
  </si>
  <si>
    <t>임지영</t>
    <phoneticPr fontId="1" type="noConversion"/>
  </si>
  <si>
    <t>경기</t>
    <phoneticPr fontId="1" type="noConversion"/>
  </si>
  <si>
    <t>연필D</t>
    <phoneticPr fontId="1" type="noConversion"/>
  </si>
  <si>
    <t>김한순</t>
    <phoneticPr fontId="1" type="noConversion"/>
  </si>
  <si>
    <t>100m 달리기 결과</t>
    <phoneticPr fontId="1" type="noConversion"/>
  </si>
  <si>
    <t>참가번호</t>
    <phoneticPr fontId="1" type="noConversion"/>
  </si>
  <si>
    <t>소속</t>
    <phoneticPr fontId="1" type="noConversion"/>
  </si>
  <si>
    <t>기록(초)</t>
    <phoneticPr fontId="1" type="noConversion"/>
  </si>
  <si>
    <t>순위</t>
    <phoneticPr fontId="1" type="noConversion"/>
  </si>
  <si>
    <t>서울</t>
    <phoneticPr fontId="1" type="noConversion"/>
  </si>
  <si>
    <t>인천</t>
    <phoneticPr fontId="1" type="noConversion"/>
  </si>
  <si>
    <t>광주</t>
    <phoneticPr fontId="1" type="noConversion"/>
  </si>
  <si>
    <t>충남</t>
    <phoneticPr fontId="1" type="noConversion"/>
  </si>
  <si>
    <t>경남</t>
    <phoneticPr fontId="1" type="noConversion"/>
  </si>
  <si>
    <t>수학경시대회</t>
    <phoneticPr fontId="1" type="noConversion"/>
  </si>
  <si>
    <t>사원별 판매실적표</t>
    <phoneticPr fontId="1" type="noConversion"/>
  </si>
  <si>
    <t>응시번호</t>
    <phoneticPr fontId="1" type="noConversion"/>
  </si>
  <si>
    <t>점수</t>
    <phoneticPr fontId="1" type="noConversion"/>
  </si>
  <si>
    <t>수상여부</t>
    <phoneticPr fontId="1" type="noConversion"/>
  </si>
  <si>
    <t>사원코드</t>
    <phoneticPr fontId="1" type="noConversion"/>
  </si>
  <si>
    <t>전반기</t>
    <phoneticPr fontId="1" type="noConversion"/>
  </si>
  <si>
    <t>후반기</t>
    <phoneticPr fontId="1" type="noConversion"/>
  </si>
  <si>
    <t>총판매량</t>
    <phoneticPr fontId="1" type="noConversion"/>
  </si>
  <si>
    <t>SE-01</t>
    <phoneticPr fontId="1" type="noConversion"/>
  </si>
  <si>
    <t>HA-01</t>
    <phoneticPr fontId="1" type="noConversion"/>
  </si>
  <si>
    <t>MA-01</t>
    <phoneticPr fontId="1" type="noConversion"/>
  </si>
  <si>
    <t>MA-01</t>
    <phoneticPr fontId="1" type="noConversion"/>
  </si>
  <si>
    <t>조건에 맞는 총판매량 평균</t>
    <phoneticPr fontId="1" type="noConversion"/>
  </si>
  <si>
    <t>기부현황</t>
    <phoneticPr fontId="1" type="noConversion"/>
  </si>
  <si>
    <t>고객번호</t>
    <phoneticPr fontId="1" type="noConversion"/>
  </si>
  <si>
    <t>고객명</t>
    <phoneticPr fontId="1" type="noConversion"/>
  </si>
  <si>
    <t>구매금액</t>
    <phoneticPr fontId="1" type="noConversion"/>
  </si>
  <si>
    <t>기부</t>
    <phoneticPr fontId="1" type="noConversion"/>
  </si>
  <si>
    <t>A-001</t>
    <phoneticPr fontId="1" type="noConversion"/>
  </si>
  <si>
    <t>김재덕</t>
    <phoneticPr fontId="1" type="noConversion"/>
  </si>
  <si>
    <t>A-002</t>
  </si>
  <si>
    <t>신애라</t>
    <phoneticPr fontId="1" type="noConversion"/>
  </si>
  <si>
    <t>A-003</t>
  </si>
  <si>
    <t>김새연</t>
    <phoneticPr fontId="1" type="noConversion"/>
  </si>
  <si>
    <t>A-004</t>
  </si>
  <si>
    <t>이학범</t>
    <phoneticPr fontId="1" type="noConversion"/>
  </si>
  <si>
    <t>A-005</t>
  </si>
  <si>
    <t>유예소</t>
    <phoneticPr fontId="1" type="noConversion"/>
  </si>
  <si>
    <t>A-006</t>
  </si>
  <si>
    <t>조재호</t>
    <phoneticPr fontId="1" type="noConversion"/>
  </si>
  <si>
    <t>A-007</t>
  </si>
  <si>
    <t>김서하</t>
    <phoneticPr fontId="1" type="noConversion"/>
  </si>
  <si>
    <t>A-008</t>
  </si>
  <si>
    <t>안창림</t>
    <phoneticPr fontId="1" type="noConversion"/>
  </si>
  <si>
    <t>A-009</t>
  </si>
  <si>
    <t>박은빈</t>
    <phoneticPr fontId="1" type="noConversion"/>
  </si>
  <si>
    <t>&lt;기부구분표&gt;</t>
    <phoneticPr fontId="1" type="noConversion"/>
  </si>
  <si>
    <t>이상</t>
    <phoneticPr fontId="1" type="noConversion"/>
  </si>
  <si>
    <t>미만</t>
    <phoneticPr fontId="1" type="noConversion"/>
  </si>
  <si>
    <t>기부</t>
    <phoneticPr fontId="1" type="noConversion"/>
  </si>
  <si>
    <t>★</t>
    <phoneticPr fontId="1" type="noConversion"/>
  </si>
  <si>
    <t>★★</t>
    <phoneticPr fontId="1" type="noConversion"/>
  </si>
  <si>
    <t>★★★</t>
    <phoneticPr fontId="1" type="noConversion"/>
  </si>
  <si>
    <t>★★★★</t>
    <phoneticPr fontId="1" type="noConversion"/>
  </si>
  <si>
    <t>★★★★★</t>
    <phoneticPr fontId="1" type="noConversion"/>
  </si>
  <si>
    <t>운행정보</t>
    <phoneticPr fontId="1" type="noConversion"/>
  </si>
  <si>
    <t>구분</t>
    <phoneticPr fontId="1" type="noConversion"/>
  </si>
  <si>
    <t>출발시간</t>
    <phoneticPr fontId="1" type="noConversion"/>
  </si>
  <si>
    <t>도착시간</t>
    <phoneticPr fontId="1" type="noConversion"/>
  </si>
  <si>
    <t>주행기록</t>
    <phoneticPr fontId="1" type="noConversion"/>
  </si>
  <si>
    <t>근태</t>
    <phoneticPr fontId="1" type="noConversion"/>
  </si>
  <si>
    <t>모범택시</t>
    <phoneticPr fontId="1" type="noConversion"/>
  </si>
  <si>
    <t>하나자동차</t>
    <phoneticPr fontId="1" type="noConversion"/>
  </si>
  <si>
    <t>공항버스</t>
    <phoneticPr fontId="1" type="noConversion"/>
  </si>
  <si>
    <t>개인택시</t>
    <phoneticPr fontId="1" type="noConversion"/>
  </si>
  <si>
    <t>국민자동차</t>
    <phoneticPr fontId="1" type="noConversion"/>
  </si>
  <si>
    <t>스쿨버스</t>
    <phoneticPr fontId="1" type="noConversion"/>
  </si>
  <si>
    <t>대한자동차</t>
    <phoneticPr fontId="1" type="noConversion"/>
  </si>
  <si>
    <t>마을버스</t>
    <phoneticPr fontId="1" type="noConversion"/>
  </si>
  <si>
    <t>합격자수</t>
    <phoneticPr fontId="1" type="noConversion"/>
  </si>
  <si>
    <t>음악경연대회 결과</t>
    <phoneticPr fontId="1" type="noConversion"/>
  </si>
  <si>
    <t>결과</t>
    <phoneticPr fontId="1" type="noConversion"/>
  </si>
  <si>
    <t>[표1]</t>
    <phoneticPr fontId="1" type="noConversion"/>
  </si>
  <si>
    <t>신입사원 채용결과</t>
  </si>
  <si>
    <t>스포츠센터 회원 현황</t>
  </si>
  <si>
    <t>응시번호</t>
  </si>
  <si>
    <t>필기</t>
  </si>
  <si>
    <t>면접</t>
  </si>
  <si>
    <t>가입년도</t>
  </si>
  <si>
    <t>성별</t>
    <phoneticPr fontId="1" type="noConversion"/>
  </si>
  <si>
    <t>21A101</t>
  </si>
  <si>
    <t>배이준</t>
  </si>
  <si>
    <t>윤다현</t>
  </si>
  <si>
    <t>2018년</t>
  </si>
  <si>
    <t>800621-1******</t>
  </si>
  <si>
    <t>21A102</t>
  </si>
  <si>
    <t>이지수</t>
  </si>
  <si>
    <t>오지윤</t>
  </si>
  <si>
    <t>2016년</t>
  </si>
  <si>
    <t>920101-2******</t>
  </si>
  <si>
    <t>21A103</t>
  </si>
  <si>
    <t>박선호</t>
  </si>
  <si>
    <t>송주명</t>
  </si>
  <si>
    <t>2019년</t>
  </si>
  <si>
    <t>000317-4******</t>
  </si>
  <si>
    <t>21A104</t>
  </si>
  <si>
    <t>서희상</t>
  </si>
  <si>
    <t>양명준</t>
  </si>
  <si>
    <t>960725-1******</t>
  </si>
  <si>
    <t>21A105</t>
  </si>
  <si>
    <t>허재희</t>
  </si>
  <si>
    <t>안성수</t>
  </si>
  <si>
    <t>2017년</t>
  </si>
  <si>
    <t>950226-1******</t>
  </si>
  <si>
    <t>21A106</t>
  </si>
  <si>
    <t>정윤형</t>
  </si>
  <si>
    <t>윤정민</t>
  </si>
  <si>
    <t>881109-2******</t>
  </si>
  <si>
    <t>21A107</t>
  </si>
  <si>
    <t>신다은</t>
  </si>
  <si>
    <t>유혜진</t>
  </si>
  <si>
    <t>850430-2******</t>
  </si>
  <si>
    <t>21A108</t>
  </si>
  <si>
    <t>강철수</t>
  </si>
  <si>
    <t>진경원</t>
  </si>
  <si>
    <t>010823-3******</t>
  </si>
  <si>
    <t>21A109</t>
  </si>
  <si>
    <t>남상미</t>
  </si>
  <si>
    <t>송주혜</t>
  </si>
  <si>
    <t>931214-2******</t>
  </si>
  <si>
    <t>합격자수</t>
    <phoneticPr fontId="1" type="noConversion"/>
  </si>
  <si>
    <t>황소민</t>
  </si>
  <si>
    <t>970922-2******</t>
  </si>
  <si>
    <t>문화센터 출석현황</t>
  </si>
  <si>
    <t>제품 생산 현황</t>
  </si>
  <si>
    <t>수강자명</t>
  </si>
  <si>
    <t>1주차</t>
  </si>
  <si>
    <t>2주차</t>
  </si>
  <si>
    <t>3주차</t>
  </si>
  <si>
    <t>4주차</t>
  </si>
  <si>
    <t>출석률</t>
    <phoneticPr fontId="1" type="noConversion"/>
  </si>
  <si>
    <t>분류</t>
  </si>
  <si>
    <t>생산일자</t>
  </si>
  <si>
    <t>제품코드</t>
    <phoneticPr fontId="1" type="noConversion"/>
  </si>
  <si>
    <t>남종완</t>
  </si>
  <si>
    <t>O</t>
  </si>
  <si>
    <t>com</t>
  </si>
  <si>
    <t>홍소율</t>
  </si>
  <si>
    <t>mou</t>
  </si>
  <si>
    <t>박이준</t>
  </si>
  <si>
    <t>key</t>
  </si>
  <si>
    <t>문하준</t>
  </si>
  <si>
    <t>노윤혁</t>
  </si>
  <si>
    <t>우영희</t>
  </si>
  <si>
    <t>박윤도</t>
  </si>
  <si>
    <t>권채안</t>
  </si>
  <si>
    <t>김선호</t>
  </si>
  <si>
    <t>쇼핑몰 회원관리현황</t>
  </si>
  <si>
    <t>회원코드</t>
  </si>
  <si>
    <t>구입총액</t>
  </si>
  <si>
    <t>마일리지</t>
  </si>
  <si>
    <t>등급</t>
    <phoneticPr fontId="1" type="noConversion"/>
  </si>
  <si>
    <t>김유진</t>
  </si>
  <si>
    <t>임선호</t>
  </si>
  <si>
    <t>강혜진</t>
  </si>
  <si>
    <t>박미현</t>
  </si>
  <si>
    <t>홍정화</t>
  </si>
  <si>
    <t>유태원</t>
  </si>
  <si>
    <t>김정석</t>
  </si>
  <si>
    <t>최미경</t>
  </si>
  <si>
    <t>신성철</t>
  </si>
  <si>
    <t>&lt;등급표&gt;</t>
    <phoneticPr fontId="1" type="noConversion"/>
  </si>
  <si>
    <t>골드</t>
  </si>
  <si>
    <t>실버</t>
  </si>
  <si>
    <t>브론즈</t>
  </si>
  <si>
    <t>1학기 성적표</t>
    <phoneticPr fontId="1" type="noConversion"/>
  </si>
  <si>
    <t>순이익</t>
  </si>
  <si>
    <t>경제학과</t>
  </si>
  <si>
    <t>CMK-01</t>
  </si>
  <si>
    <t>CMK-03</t>
  </si>
  <si>
    <t>회계학과</t>
  </si>
  <si>
    <t>CMK-04</t>
  </si>
  <si>
    <t>CMK-05</t>
  </si>
  <si>
    <t>CMK-06</t>
  </si>
  <si>
    <t>무역학과</t>
  </si>
  <si>
    <t>CMK-07</t>
  </si>
  <si>
    <t>CMK-08</t>
  </si>
  <si>
    <t>순이익 차이</t>
  </si>
  <si>
    <t>컴활2급필기 시험결과</t>
  </si>
  <si>
    <t>사원별 휴가현황</t>
  </si>
  <si>
    <t>휴가출발일</t>
  </si>
  <si>
    <t>남은일수</t>
  </si>
  <si>
    <t>기준일</t>
  </si>
  <si>
    <t>M2301</t>
    <phoneticPr fontId="1" type="noConversion"/>
  </si>
  <si>
    <t>이근우</t>
  </si>
  <si>
    <t>M2302</t>
  </si>
  <si>
    <t>윤홍석</t>
  </si>
  <si>
    <t>M2303</t>
  </si>
  <si>
    <t>정의영</t>
  </si>
  <si>
    <t>M2304</t>
  </si>
  <si>
    <t>김선영</t>
  </si>
  <si>
    <t>M2305</t>
  </si>
  <si>
    <t>노영주</t>
  </si>
  <si>
    <t>M2306</t>
  </si>
  <si>
    <t>김용민</t>
  </si>
  <si>
    <t>M2307</t>
  </si>
  <si>
    <t>이상희</t>
  </si>
  <si>
    <t>M2308</t>
  </si>
  <si>
    <t>강한나</t>
  </si>
  <si>
    <t>M2309</t>
  </si>
  <si>
    <t>한승희</t>
  </si>
  <si>
    <t>M2310</t>
  </si>
  <si>
    <t>김예소</t>
  </si>
  <si>
    <t>공연예매현황</t>
  </si>
  <si>
    <t>공연명</t>
  </si>
  <si>
    <t>공연일</t>
  </si>
  <si>
    <t>공연요일</t>
    <phoneticPr fontId="1" type="noConversion"/>
  </si>
  <si>
    <t>2호선</t>
  </si>
  <si>
    <t>국민연극</t>
  </si>
  <si>
    <t>세사람</t>
  </si>
  <si>
    <t>프라이드</t>
  </si>
  <si>
    <t>서툰사랑</t>
  </si>
  <si>
    <t>널사랑해</t>
  </si>
  <si>
    <t>파트너</t>
  </si>
  <si>
    <t>까치</t>
  </si>
  <si>
    <t>총알택시</t>
  </si>
  <si>
    <t>달동네</t>
  </si>
  <si>
    <t>[표1]</t>
    <phoneticPr fontId="1" type="noConversion"/>
  </si>
  <si>
    <t>진료현황</t>
    <phoneticPr fontId="1" type="noConversion"/>
  </si>
  <si>
    <t>[표2]</t>
    <phoneticPr fontId="1" type="noConversion"/>
  </si>
  <si>
    <t>신체검사결과</t>
    <phoneticPr fontId="1" type="noConversion"/>
  </si>
  <si>
    <t>진료과</t>
    <phoneticPr fontId="1" type="noConversion"/>
  </si>
  <si>
    <t>환자명</t>
    <phoneticPr fontId="1" type="noConversion"/>
  </si>
  <si>
    <t>성별</t>
    <phoneticPr fontId="1" type="noConversion"/>
  </si>
  <si>
    <t>성명</t>
    <phoneticPr fontId="1" type="noConversion"/>
  </si>
  <si>
    <t>신장(m)</t>
    <phoneticPr fontId="1" type="noConversion"/>
  </si>
  <si>
    <t>체중(kg)</t>
    <phoneticPr fontId="1" type="noConversion"/>
  </si>
  <si>
    <t>체질량지수(BMI)</t>
    <phoneticPr fontId="1" type="noConversion"/>
  </si>
  <si>
    <t>내과</t>
    <phoneticPr fontId="1" type="noConversion"/>
  </si>
  <si>
    <t>김강단</t>
    <phoneticPr fontId="1" type="noConversion"/>
  </si>
  <si>
    <t>941018-2******</t>
  </si>
  <si>
    <t>김태균</t>
    <phoneticPr fontId="1" type="noConversion"/>
  </si>
  <si>
    <t>이비인후과</t>
    <phoneticPr fontId="1" type="noConversion"/>
  </si>
  <si>
    <t>이비인후과</t>
    <phoneticPr fontId="1" type="noConversion"/>
  </si>
  <si>
    <t>이튼튼</t>
    <phoneticPr fontId="1" type="noConversion"/>
  </si>
  <si>
    <t>850606-1******</t>
  </si>
  <si>
    <t>이정희</t>
    <phoneticPr fontId="1" type="noConversion"/>
  </si>
  <si>
    <t>임영우</t>
    <phoneticPr fontId="1" type="noConversion"/>
  </si>
  <si>
    <t>010507-4******</t>
  </si>
  <si>
    <t>박성광</t>
    <phoneticPr fontId="1" type="noConversion"/>
  </si>
  <si>
    <t>내과</t>
    <phoneticPr fontId="1" type="noConversion"/>
  </si>
  <si>
    <t>이보미</t>
    <phoneticPr fontId="1" type="noConversion"/>
  </si>
  <si>
    <t>001130-6******</t>
  </si>
  <si>
    <t>김선미</t>
    <phoneticPr fontId="1" type="noConversion"/>
  </si>
  <si>
    <t>김동준</t>
    <phoneticPr fontId="1" type="noConversion"/>
  </si>
  <si>
    <t>881201-2******</t>
  </si>
  <si>
    <t>안상태</t>
    <phoneticPr fontId="1" type="noConversion"/>
  </si>
  <si>
    <t>윤서하</t>
    <phoneticPr fontId="1" type="noConversion"/>
  </si>
  <si>
    <t>970729-1******</t>
  </si>
  <si>
    <t>박나래</t>
    <phoneticPr fontId="1" type="noConversion"/>
  </si>
  <si>
    <t>최미영</t>
    <phoneticPr fontId="1" type="noConversion"/>
  </si>
  <si>
    <t>000823-3******</t>
  </si>
  <si>
    <t>강유미</t>
    <phoneticPr fontId="1" type="noConversion"/>
  </si>
  <si>
    <t>신서현</t>
    <phoneticPr fontId="1" type="noConversion"/>
  </si>
  <si>
    <t>810424-2******</t>
  </si>
  <si>
    <t>김선우</t>
    <phoneticPr fontId="1" type="noConversion"/>
  </si>
  <si>
    <t>[표3]</t>
    <phoneticPr fontId="1" type="noConversion"/>
  </si>
  <si>
    <t>제품판매현황</t>
    <phoneticPr fontId="1" type="noConversion"/>
  </si>
  <si>
    <t>&lt;제품가격표&gt;</t>
    <phoneticPr fontId="1" type="noConversion"/>
  </si>
  <si>
    <t>매장명</t>
    <phoneticPr fontId="1" type="noConversion"/>
  </si>
  <si>
    <t>제품명</t>
    <phoneticPr fontId="1" type="noConversion"/>
  </si>
  <si>
    <t>판매량</t>
    <phoneticPr fontId="1" type="noConversion"/>
  </si>
  <si>
    <t>판매금액</t>
    <phoneticPr fontId="1" type="noConversion"/>
  </si>
  <si>
    <t>구분</t>
    <phoneticPr fontId="1" type="noConversion"/>
  </si>
  <si>
    <t>동부A</t>
    <phoneticPr fontId="1" type="noConversion"/>
  </si>
  <si>
    <t>동부B</t>
    <phoneticPr fontId="1" type="noConversion"/>
  </si>
  <si>
    <t>서부A</t>
    <phoneticPr fontId="1" type="noConversion"/>
  </si>
  <si>
    <t>서부B</t>
    <phoneticPr fontId="1" type="noConversion"/>
  </si>
  <si>
    <t>서부</t>
    <phoneticPr fontId="1" type="noConversion"/>
  </si>
  <si>
    <t>오디오/B</t>
    <phoneticPr fontId="1" type="noConversion"/>
  </si>
  <si>
    <t>매입가</t>
    <phoneticPr fontId="1" type="noConversion"/>
  </si>
  <si>
    <t>동부</t>
    <phoneticPr fontId="1" type="noConversion"/>
  </si>
  <si>
    <t>HDTV/A</t>
    <phoneticPr fontId="1" type="noConversion"/>
  </si>
  <si>
    <t>판매가</t>
    <phoneticPr fontId="1" type="noConversion"/>
  </si>
  <si>
    <t>오디오/B</t>
    <phoneticPr fontId="1" type="noConversion"/>
  </si>
  <si>
    <t>동부</t>
    <phoneticPr fontId="1" type="noConversion"/>
  </si>
  <si>
    <t>서부</t>
    <phoneticPr fontId="1" type="noConversion"/>
  </si>
  <si>
    <t>HDTV/A</t>
    <phoneticPr fontId="1" type="noConversion"/>
  </si>
  <si>
    <t>동부</t>
    <phoneticPr fontId="1" type="noConversion"/>
  </si>
  <si>
    <t>HDTV/A</t>
    <phoneticPr fontId="1" type="noConversion"/>
  </si>
  <si>
    <t>[표4]</t>
    <phoneticPr fontId="1" type="noConversion"/>
  </si>
  <si>
    <t>제품판매현황</t>
    <phoneticPr fontId="1" type="noConversion"/>
  </si>
  <si>
    <t>영화관람현황</t>
    <phoneticPr fontId="1" type="noConversion"/>
  </si>
  <si>
    <t>학과</t>
    <phoneticPr fontId="1" type="noConversion"/>
  </si>
  <si>
    <t>파이썬</t>
    <phoneticPr fontId="1" type="noConversion"/>
  </si>
  <si>
    <t>C언어</t>
    <phoneticPr fontId="1" type="noConversion"/>
  </si>
  <si>
    <t>JAVA</t>
    <phoneticPr fontId="1" type="noConversion"/>
  </si>
  <si>
    <t>관람일</t>
    <phoneticPr fontId="1" type="noConversion"/>
  </si>
  <si>
    <t>영화제목</t>
    <phoneticPr fontId="1" type="noConversion"/>
  </si>
  <si>
    <t>결제방법</t>
    <phoneticPr fontId="1" type="noConversion"/>
  </si>
  <si>
    <t>결제금액</t>
    <phoneticPr fontId="1" type="noConversion"/>
  </si>
  <si>
    <t>등급</t>
    <phoneticPr fontId="1" type="noConversion"/>
  </si>
  <si>
    <t>전자공학과</t>
    <phoneticPr fontId="1" type="noConversion"/>
  </si>
  <si>
    <t>이재석</t>
    <phoneticPr fontId="1" type="noConversion"/>
  </si>
  <si>
    <t>행복</t>
    <phoneticPr fontId="1" type="noConversion"/>
  </si>
  <si>
    <t>카드</t>
    <phoneticPr fontId="1" type="noConversion"/>
  </si>
  <si>
    <t>응용통계학과</t>
    <phoneticPr fontId="1" type="noConversion"/>
  </si>
  <si>
    <t>이정현</t>
    <phoneticPr fontId="1" type="noConversion"/>
  </si>
  <si>
    <t>더마더</t>
    <phoneticPr fontId="1" type="noConversion"/>
  </si>
  <si>
    <t>현금</t>
    <phoneticPr fontId="1" type="noConversion"/>
  </si>
  <si>
    <t>컴퓨터공학과</t>
    <phoneticPr fontId="1" type="noConversion"/>
  </si>
  <si>
    <t>김민종</t>
    <phoneticPr fontId="1" type="noConversion"/>
  </si>
  <si>
    <t>낙원의그늘</t>
    <phoneticPr fontId="1" type="noConversion"/>
  </si>
  <si>
    <t>전자공학과</t>
    <phoneticPr fontId="1" type="noConversion"/>
  </si>
  <si>
    <t>안민주</t>
    <phoneticPr fontId="1" type="noConversion"/>
  </si>
  <si>
    <t>카오스호</t>
    <phoneticPr fontId="1" type="noConversion"/>
  </si>
  <si>
    <t>정다은</t>
    <phoneticPr fontId="1" type="noConversion"/>
  </si>
  <si>
    <t>우리의사월</t>
    <phoneticPr fontId="1" type="noConversion"/>
  </si>
  <si>
    <t>컴퓨터공학과</t>
    <phoneticPr fontId="1" type="noConversion"/>
  </si>
  <si>
    <t>송민석</t>
    <phoneticPr fontId="1" type="noConversion"/>
  </si>
  <si>
    <t>네자매</t>
    <phoneticPr fontId="1" type="noConversion"/>
  </si>
  <si>
    <t>한승연</t>
    <phoneticPr fontId="1" type="noConversion"/>
  </si>
  <si>
    <t>아웃사이더</t>
    <phoneticPr fontId="1" type="noConversion"/>
  </si>
  <si>
    <t>응용통계학과</t>
    <phoneticPr fontId="1" type="noConversion"/>
  </si>
  <si>
    <t>강태구</t>
    <phoneticPr fontId="1" type="noConversion"/>
  </si>
  <si>
    <t>퍼펙트</t>
    <phoneticPr fontId="1" type="noConversion"/>
  </si>
  <si>
    <t>박하영</t>
    <phoneticPr fontId="1" type="noConversion"/>
  </si>
  <si>
    <t>몬스터스쿨</t>
    <phoneticPr fontId="1" type="noConversion"/>
  </si>
  <si>
    <t>&lt;조건&gt;</t>
    <phoneticPr fontId="1" type="noConversion"/>
  </si>
  <si>
    <t>응용통계학과 학생들의 파이썬 평균</t>
    <phoneticPr fontId="1" type="noConversion"/>
  </si>
  <si>
    <t>[표1]</t>
    <phoneticPr fontId="1" type="noConversion"/>
  </si>
  <si>
    <t>모델별 매출현황</t>
    <phoneticPr fontId="1" type="noConversion"/>
  </si>
  <si>
    <t>[표2]</t>
    <phoneticPr fontId="1" type="noConversion"/>
  </si>
  <si>
    <t>해외연수여행</t>
    <phoneticPr fontId="1" type="noConversion"/>
  </si>
  <si>
    <t>모델코드</t>
    <phoneticPr fontId="1" type="noConversion"/>
  </si>
  <si>
    <t>분류</t>
    <phoneticPr fontId="1" type="noConversion"/>
  </si>
  <si>
    <t>매출액</t>
    <phoneticPr fontId="1" type="noConversion"/>
  </si>
  <si>
    <t>이름</t>
    <phoneticPr fontId="1" type="noConversion"/>
  </si>
  <si>
    <t>여행권역</t>
    <phoneticPr fontId="1" type="noConversion"/>
  </si>
  <si>
    <t>출발일자</t>
    <phoneticPr fontId="1" type="noConversion"/>
  </si>
  <si>
    <t>출발요일</t>
    <phoneticPr fontId="1" type="noConversion"/>
  </si>
  <si>
    <t>MP-12AD</t>
    <phoneticPr fontId="1" type="noConversion"/>
  </si>
  <si>
    <t>국내</t>
    <phoneticPr fontId="1" type="noConversion"/>
  </si>
  <si>
    <t>배정현</t>
    <phoneticPr fontId="1" type="noConversion"/>
  </si>
  <si>
    <t>유럽</t>
    <phoneticPr fontId="1" type="noConversion"/>
  </si>
  <si>
    <t>TH-25LD</t>
    <phoneticPr fontId="1" type="noConversion"/>
  </si>
  <si>
    <t>국외</t>
    <phoneticPr fontId="1" type="noConversion"/>
  </si>
  <si>
    <t>홍인영</t>
  </si>
  <si>
    <t>동남아시아</t>
    <phoneticPr fontId="1" type="noConversion"/>
  </si>
  <si>
    <t>DC-72TG</t>
    <phoneticPr fontId="1" type="noConversion"/>
  </si>
  <si>
    <t>국내</t>
    <phoneticPr fontId="1" type="noConversion"/>
  </si>
  <si>
    <t>장영주</t>
    <phoneticPr fontId="1" type="noConversion"/>
  </si>
  <si>
    <t>TH-81BE</t>
    <phoneticPr fontId="1" type="noConversion"/>
  </si>
  <si>
    <t>윤정희</t>
    <phoneticPr fontId="1" type="noConversion"/>
  </si>
  <si>
    <t>북아메리카</t>
    <phoneticPr fontId="1" type="noConversion"/>
  </si>
  <si>
    <t>MP-33PA</t>
    <phoneticPr fontId="1" type="noConversion"/>
  </si>
  <si>
    <t>오동철</t>
    <phoneticPr fontId="1" type="noConversion"/>
  </si>
  <si>
    <t>유럽</t>
    <phoneticPr fontId="1" type="noConversion"/>
  </si>
  <si>
    <t>DC-94SN</t>
    <phoneticPr fontId="1" type="noConversion"/>
  </si>
  <si>
    <t>양형석</t>
    <phoneticPr fontId="1" type="noConversion"/>
  </si>
  <si>
    <t>전조훈</t>
    <phoneticPr fontId="1" type="noConversion"/>
  </si>
  <si>
    <t>&lt;판매단가표&gt;</t>
    <phoneticPr fontId="1" type="noConversion"/>
  </si>
  <si>
    <t>(단위 : 천원)</t>
    <phoneticPr fontId="1" type="noConversion"/>
  </si>
  <si>
    <t>유연아</t>
  </si>
  <si>
    <t>코드</t>
    <phoneticPr fontId="1" type="noConversion"/>
  </si>
  <si>
    <t>MP</t>
    <phoneticPr fontId="1" type="noConversion"/>
  </si>
  <si>
    <t>TH</t>
    <phoneticPr fontId="1" type="noConversion"/>
  </si>
  <si>
    <t>DC</t>
    <phoneticPr fontId="1" type="noConversion"/>
  </si>
  <si>
    <t>박진만</t>
    <phoneticPr fontId="1" type="noConversion"/>
  </si>
  <si>
    <t>판매단가</t>
    <phoneticPr fontId="1" type="noConversion"/>
  </si>
  <si>
    <t>김유형</t>
    <phoneticPr fontId="1" type="noConversion"/>
  </si>
  <si>
    <t>[표3]</t>
    <phoneticPr fontId="1" type="noConversion"/>
  </si>
  <si>
    <t>신입사원 채용결과</t>
    <phoneticPr fontId="1" type="noConversion"/>
  </si>
  <si>
    <t>[표4]</t>
    <phoneticPr fontId="1" type="noConversion"/>
  </si>
  <si>
    <t>국가별 강수량</t>
    <phoneticPr fontId="1" type="noConversion"/>
  </si>
  <si>
    <t>사원번호</t>
    <phoneticPr fontId="1" type="noConversion"/>
  </si>
  <si>
    <t>희망부서</t>
    <phoneticPr fontId="1" type="noConversion"/>
  </si>
  <si>
    <t>입사시험</t>
    <phoneticPr fontId="1" type="noConversion"/>
  </si>
  <si>
    <t>국가</t>
    <phoneticPr fontId="1" type="noConversion"/>
  </si>
  <si>
    <t>수도</t>
    <phoneticPr fontId="1" type="noConversion"/>
  </si>
  <si>
    <t>강수량(mm)</t>
    <phoneticPr fontId="1" type="noConversion"/>
  </si>
  <si>
    <t>지역</t>
    <phoneticPr fontId="1" type="noConversion"/>
  </si>
  <si>
    <t>A990101</t>
    <phoneticPr fontId="1" type="noConversion"/>
  </si>
  <si>
    <t>영업부</t>
    <phoneticPr fontId="1" type="noConversion"/>
  </si>
  <si>
    <t>Korea</t>
    <phoneticPr fontId="1" type="noConversion"/>
  </si>
  <si>
    <t>Seoul</t>
    <phoneticPr fontId="1" type="noConversion"/>
  </si>
  <si>
    <t>A990102</t>
  </si>
  <si>
    <t>기획부</t>
    <phoneticPr fontId="1" type="noConversion"/>
  </si>
  <si>
    <t>Portugal</t>
    <phoneticPr fontId="1" type="noConversion"/>
  </si>
  <si>
    <t>Risbon</t>
    <phoneticPr fontId="1" type="noConversion"/>
  </si>
  <si>
    <t>A990103</t>
  </si>
  <si>
    <t>생산부</t>
    <phoneticPr fontId="1" type="noConversion"/>
  </si>
  <si>
    <t>Spain</t>
    <phoneticPr fontId="1" type="noConversion"/>
  </si>
  <si>
    <t>Madrid</t>
    <phoneticPr fontId="1" type="noConversion"/>
  </si>
  <si>
    <t>A990104</t>
  </si>
  <si>
    <t>관리부</t>
    <phoneticPr fontId="1" type="noConversion"/>
  </si>
  <si>
    <t>Japan</t>
    <phoneticPr fontId="1" type="noConversion"/>
  </si>
  <si>
    <t>Tokyo</t>
    <phoneticPr fontId="1" type="noConversion"/>
  </si>
  <si>
    <t>A990105</t>
  </si>
  <si>
    <t>Greece</t>
    <phoneticPr fontId="1" type="noConversion"/>
  </si>
  <si>
    <t>Athens</t>
    <phoneticPr fontId="1" type="noConversion"/>
  </si>
  <si>
    <t>A990106</t>
  </si>
  <si>
    <t>Cuba</t>
    <phoneticPr fontId="1" type="noConversion"/>
  </si>
  <si>
    <t>Havana</t>
    <phoneticPr fontId="1" type="noConversion"/>
  </si>
  <si>
    <t>Turkey</t>
    <phoneticPr fontId="1" type="noConversion"/>
  </si>
  <si>
    <t>Ankara</t>
    <phoneticPr fontId="1" type="noConversion"/>
  </si>
  <si>
    <t>기획부 평균</t>
    <phoneticPr fontId="1" type="noConversion"/>
  </si>
  <si>
    <t>Morocco</t>
    <phoneticPr fontId="1" type="noConversion"/>
  </si>
  <si>
    <t>Rabat</t>
    <phoneticPr fontId="1" type="noConversion"/>
  </si>
  <si>
    <t>France</t>
    <phoneticPr fontId="1" type="noConversion"/>
  </si>
  <si>
    <t>Paris</t>
    <phoneticPr fontId="1" type="noConversion"/>
  </si>
  <si>
    <t>[표5]</t>
    <phoneticPr fontId="1" type="noConversion"/>
  </si>
  <si>
    <t>아르바이트 20세 이상 채용 결과</t>
    <phoneticPr fontId="1" type="noConversion"/>
  </si>
  <si>
    <t>채용지점</t>
    <phoneticPr fontId="1" type="noConversion"/>
  </si>
  <si>
    <t>생년월일</t>
    <phoneticPr fontId="1" type="noConversion"/>
  </si>
  <si>
    <t>채용여부</t>
    <phoneticPr fontId="1" type="noConversion"/>
  </si>
  <si>
    <t>손지헌</t>
  </si>
  <si>
    <t>용산점</t>
    <phoneticPr fontId="1" type="noConversion"/>
  </si>
  <si>
    <t>서유영</t>
  </si>
  <si>
    <t>강동점</t>
    <phoneticPr fontId="1" type="noConversion"/>
  </si>
  <si>
    <t>이효정</t>
    <phoneticPr fontId="1" type="noConversion"/>
  </si>
  <si>
    <t>도봉점</t>
    <phoneticPr fontId="1" type="noConversion"/>
  </si>
  <si>
    <t>장대은</t>
  </si>
  <si>
    <t>은평점</t>
    <phoneticPr fontId="1" type="noConversion"/>
  </si>
  <si>
    <t>백원영</t>
  </si>
  <si>
    <t>구로점</t>
    <phoneticPr fontId="1" type="noConversion"/>
  </si>
  <si>
    <t>전주현</t>
    <phoneticPr fontId="1" type="noConversion"/>
  </si>
  <si>
    <t>강남점</t>
    <phoneticPr fontId="1" type="noConversion"/>
  </si>
  <si>
    <t>오혜주</t>
  </si>
  <si>
    <t>성북점</t>
    <phoneticPr fontId="1" type="noConversion"/>
  </si>
  <si>
    <t>권연호</t>
  </si>
  <si>
    <t>종로점</t>
    <phoneticPr fontId="1" type="noConversion"/>
  </si>
  <si>
    <t>김준용</t>
    <phoneticPr fontId="1" type="noConversion"/>
  </si>
  <si>
    <t>마포점</t>
    <phoneticPr fontId="1" type="noConversion"/>
  </si>
  <si>
    <t>기준년도</t>
    <phoneticPr fontId="1" type="noConversion"/>
  </si>
  <si>
    <t>사원코드</t>
    <phoneticPr fontId="1" type="noConversion"/>
  </si>
  <si>
    <t>근태</t>
    <phoneticPr fontId="1" type="noConversion"/>
  </si>
  <si>
    <t>실적</t>
    <phoneticPr fontId="1" type="noConversion"/>
  </si>
  <si>
    <t>평균</t>
    <phoneticPr fontId="1" type="noConversion"/>
  </si>
  <si>
    <t>노력</t>
    <phoneticPr fontId="1" type="noConversion"/>
  </si>
  <si>
    <t>준수</t>
    <phoneticPr fontId="1" type="noConversion"/>
  </si>
  <si>
    <t>제품 생산 현황</t>
    <phoneticPr fontId="1" type="noConversion"/>
  </si>
  <si>
    <t>생산기간</t>
    <phoneticPr fontId="1" type="noConversion"/>
  </si>
  <si>
    <t>생산부서</t>
    <phoneticPr fontId="1" type="noConversion"/>
  </si>
  <si>
    <t>생산량</t>
    <phoneticPr fontId="1" type="noConversion"/>
  </si>
  <si>
    <t>생산A</t>
    <phoneticPr fontId="1" type="noConversion"/>
  </si>
  <si>
    <t>1월</t>
    <phoneticPr fontId="1" type="noConversion"/>
  </si>
  <si>
    <t>생산B</t>
    <phoneticPr fontId="1" type="noConversion"/>
  </si>
  <si>
    <t>생산B</t>
    <phoneticPr fontId="1" type="noConversion"/>
  </si>
  <si>
    <t>680723-106****</t>
    <phoneticPr fontId="1" type="noConversion"/>
  </si>
  <si>
    <t>출석현황</t>
    <phoneticPr fontId="1" type="noConversion"/>
  </si>
  <si>
    <t>국가별 정보</t>
    <phoneticPr fontId="1" type="noConversion"/>
  </si>
  <si>
    <t>이름</t>
    <phoneticPr fontId="1" type="noConversion"/>
  </si>
  <si>
    <t>1주차</t>
    <phoneticPr fontId="1" type="noConversion"/>
  </si>
  <si>
    <t>2주차</t>
    <phoneticPr fontId="1" type="noConversion"/>
  </si>
  <si>
    <t>3주차</t>
    <phoneticPr fontId="1" type="noConversion"/>
  </si>
  <si>
    <t>출석</t>
    <phoneticPr fontId="1" type="noConversion"/>
  </si>
  <si>
    <t>국가</t>
    <phoneticPr fontId="1" type="noConversion"/>
  </si>
  <si>
    <t>수도</t>
    <phoneticPr fontId="1" type="noConversion"/>
  </si>
  <si>
    <t>지역</t>
    <phoneticPr fontId="1" type="noConversion"/>
  </si>
  <si>
    <t>백성수</t>
    <phoneticPr fontId="1" type="noConversion"/>
  </si>
  <si>
    <t>O</t>
    <phoneticPr fontId="1" type="noConversion"/>
  </si>
  <si>
    <t>O</t>
    <phoneticPr fontId="1" type="noConversion"/>
  </si>
  <si>
    <t>Korea</t>
    <phoneticPr fontId="1" type="noConversion"/>
  </si>
  <si>
    <t>Seoul</t>
    <phoneticPr fontId="1" type="noConversion"/>
  </si>
  <si>
    <t>박윤지</t>
    <phoneticPr fontId="1" type="noConversion"/>
  </si>
  <si>
    <t>O</t>
    <phoneticPr fontId="1" type="noConversion"/>
  </si>
  <si>
    <t>Greece</t>
    <phoneticPr fontId="1" type="noConversion"/>
  </si>
  <si>
    <t>Athens</t>
    <phoneticPr fontId="1" type="noConversion"/>
  </si>
  <si>
    <t>이주호</t>
  </si>
  <si>
    <t>Ghana</t>
    <phoneticPr fontId="1" type="noConversion"/>
  </si>
  <si>
    <t>Accra</t>
    <phoneticPr fontId="1" type="noConversion"/>
  </si>
  <si>
    <t>윤솔아</t>
    <phoneticPr fontId="1" type="noConversion"/>
  </si>
  <si>
    <t>Japan</t>
    <phoneticPr fontId="1" type="noConversion"/>
  </si>
  <si>
    <t>Tokyo</t>
    <phoneticPr fontId="1" type="noConversion"/>
  </si>
  <si>
    <t>김주혁</t>
    <phoneticPr fontId="1" type="noConversion"/>
  </si>
  <si>
    <t>France</t>
    <phoneticPr fontId="1" type="noConversion"/>
  </si>
  <si>
    <t>Paris</t>
    <phoneticPr fontId="1" type="noConversion"/>
  </si>
  <si>
    <t>이하늘</t>
    <phoneticPr fontId="1" type="noConversion"/>
  </si>
  <si>
    <t>Brazil</t>
    <phoneticPr fontId="1" type="noConversion"/>
  </si>
  <si>
    <t>Brasilia</t>
    <phoneticPr fontId="1" type="noConversion"/>
  </si>
  <si>
    <t>박선아</t>
  </si>
  <si>
    <t>Chile</t>
    <phoneticPr fontId="1" type="noConversion"/>
  </si>
  <si>
    <t>Santiago</t>
    <phoneticPr fontId="1" type="noConversion"/>
  </si>
  <si>
    <t>조윤준</t>
  </si>
  <si>
    <t>Russia</t>
    <phoneticPr fontId="1" type="noConversion"/>
  </si>
  <si>
    <t>Moskva</t>
    <phoneticPr fontId="1" type="noConversion"/>
  </si>
  <si>
    <t>박종연</t>
    <phoneticPr fontId="1" type="noConversion"/>
  </si>
  <si>
    <t>Taiwan</t>
    <phoneticPr fontId="1" type="noConversion"/>
  </si>
  <si>
    <t>Taipei</t>
    <phoneticPr fontId="1" type="noConversion"/>
  </si>
  <si>
    <t>임원희</t>
    <phoneticPr fontId="1" type="noConversion"/>
  </si>
  <si>
    <t>Egypt</t>
    <phoneticPr fontId="1" type="noConversion"/>
  </si>
  <si>
    <t>Cairo</t>
    <phoneticPr fontId="1" type="noConversion"/>
  </si>
  <si>
    <t>제품출고현황</t>
    <phoneticPr fontId="1" type="noConversion"/>
  </si>
  <si>
    <t>포인트적립 현황</t>
    <phoneticPr fontId="1" type="noConversion"/>
  </si>
  <si>
    <t>출고일자</t>
    <phoneticPr fontId="1" type="noConversion"/>
  </si>
  <si>
    <t>지점</t>
    <phoneticPr fontId="1" type="noConversion"/>
  </si>
  <si>
    <t>출고량</t>
    <phoneticPr fontId="1" type="noConversion"/>
  </si>
  <si>
    <t>가입년도</t>
    <phoneticPr fontId="1" type="noConversion"/>
  </si>
  <si>
    <t>구매횟수</t>
    <phoneticPr fontId="1" type="noConversion"/>
  </si>
  <si>
    <t>적립포인트</t>
    <phoneticPr fontId="1" type="noConversion"/>
  </si>
  <si>
    <t>고객코드</t>
    <phoneticPr fontId="1" type="noConversion"/>
  </si>
  <si>
    <t>6월4일</t>
    <phoneticPr fontId="1" type="noConversion"/>
  </si>
  <si>
    <t>망원점</t>
    <phoneticPr fontId="1" type="noConversion"/>
  </si>
  <si>
    <t>2018년</t>
    <phoneticPr fontId="1" type="noConversion"/>
  </si>
  <si>
    <t>HSP-001</t>
    <phoneticPr fontId="1" type="noConversion"/>
  </si>
  <si>
    <t>서교점</t>
    <phoneticPr fontId="1" type="noConversion"/>
  </si>
  <si>
    <t>2016년</t>
    <phoneticPr fontId="1" type="noConversion"/>
  </si>
  <si>
    <t>합정점</t>
    <phoneticPr fontId="1" type="noConversion"/>
  </si>
  <si>
    <t>2019년</t>
    <phoneticPr fontId="1" type="noConversion"/>
  </si>
  <si>
    <t>6월18일</t>
    <phoneticPr fontId="1" type="noConversion"/>
  </si>
  <si>
    <t>2015년</t>
    <phoneticPr fontId="1" type="noConversion"/>
  </si>
  <si>
    <t>2017년</t>
    <phoneticPr fontId="1" type="noConversion"/>
  </si>
  <si>
    <t>6월25일</t>
    <phoneticPr fontId="1" type="noConversion"/>
  </si>
  <si>
    <t>조건에 맞는 개수</t>
    <phoneticPr fontId="1" type="noConversion"/>
  </si>
  <si>
    <t>적립포인트가 가장 많은 고객</t>
    <phoneticPr fontId="1" type="noConversion"/>
  </si>
  <si>
    <t>시험접수현황</t>
    <phoneticPr fontId="1" type="noConversion"/>
  </si>
  <si>
    <t>시험일자</t>
    <phoneticPr fontId="1" type="noConversion"/>
  </si>
  <si>
    <t>접수번호</t>
    <phoneticPr fontId="1" type="noConversion"/>
  </si>
  <si>
    <t>지역</t>
    <phoneticPr fontId="1" type="noConversion"/>
  </si>
  <si>
    <t>시험요일</t>
    <phoneticPr fontId="1" type="noConversion"/>
  </si>
  <si>
    <t>제주</t>
    <phoneticPr fontId="1" type="noConversion"/>
  </si>
  <si>
    <t>강릉</t>
    <phoneticPr fontId="1" type="noConversion"/>
  </si>
  <si>
    <t>부산</t>
    <phoneticPr fontId="1" type="noConversion"/>
  </si>
  <si>
    <t>목포</t>
    <phoneticPr fontId="1" type="noConversion"/>
  </si>
  <si>
    <t>청주</t>
    <phoneticPr fontId="1" type="noConversion"/>
  </si>
  <si>
    <t>상주</t>
    <phoneticPr fontId="1" type="noConversion"/>
  </si>
  <si>
    <t>창원</t>
    <phoneticPr fontId="1" type="noConversion"/>
  </si>
  <si>
    <t>무주</t>
    <phoneticPr fontId="1" type="noConversion"/>
  </si>
  <si>
    <t>이름</t>
    <phoneticPr fontId="1" type="noConversion"/>
  </si>
  <si>
    <t>목표</t>
    <phoneticPr fontId="1" type="noConversion"/>
  </si>
  <si>
    <t>실적</t>
    <phoneticPr fontId="1" type="noConversion"/>
  </si>
  <si>
    <t xml:space="preserve">[표4] </t>
    <phoneticPr fontId="1" type="noConversion"/>
  </si>
  <si>
    <t>100m 기록</t>
    <phoneticPr fontId="1" type="noConversion"/>
  </si>
  <si>
    <t>취업률(%)</t>
    <phoneticPr fontId="1" type="noConversion"/>
  </si>
  <si>
    <t>성명</t>
    <phoneticPr fontId="1" type="noConversion"/>
  </si>
  <si>
    <t>반</t>
    <phoneticPr fontId="1" type="noConversion"/>
  </si>
  <si>
    <t>기록</t>
    <phoneticPr fontId="1" type="noConversion"/>
  </si>
  <si>
    <t>순위</t>
    <phoneticPr fontId="1" type="noConversion"/>
  </si>
  <si>
    <t>자연</t>
    <phoneticPr fontId="1" type="noConversion"/>
  </si>
  <si>
    <t>이경환</t>
    <phoneticPr fontId="1" type="noConversion"/>
  </si>
  <si>
    <t>공학</t>
    <phoneticPr fontId="1" type="noConversion"/>
  </si>
  <si>
    <t>김한순</t>
    <phoneticPr fontId="1" type="noConversion"/>
  </si>
  <si>
    <t>강영택</t>
    <phoneticPr fontId="1" type="noConversion"/>
  </si>
  <si>
    <t>조광희</t>
    <phoneticPr fontId="1" type="noConversion"/>
  </si>
  <si>
    <t>한정휴</t>
    <phoneticPr fontId="1" type="noConversion"/>
  </si>
  <si>
    <t>&lt;조건&gt;</t>
    <phoneticPr fontId="1" type="noConversion"/>
  </si>
  <si>
    <t>김선호</t>
    <phoneticPr fontId="1" type="noConversion"/>
  </si>
  <si>
    <t>정경호</t>
    <phoneticPr fontId="1" type="noConversion"/>
  </si>
  <si>
    <t>문세윤</t>
    <phoneticPr fontId="1" type="noConversion"/>
  </si>
  <si>
    <t>&lt;상품구성표&gt;</t>
    <phoneticPr fontId="1" type="noConversion"/>
  </si>
  <si>
    <t>사원별 판매실적현황</t>
  </si>
  <si>
    <t>회원관리현황</t>
  </si>
  <si>
    <t>직급</t>
  </si>
  <si>
    <t>구입횟수</t>
  </si>
  <si>
    <t>김상욱</t>
  </si>
  <si>
    <t>HP-A-01</t>
  </si>
  <si>
    <t>황진주</t>
  </si>
  <si>
    <t>HP-A-02</t>
  </si>
  <si>
    <t>김민서</t>
  </si>
  <si>
    <t>HP-A-03</t>
  </si>
  <si>
    <t>HP-A-04</t>
  </si>
  <si>
    <t>심영훈</t>
  </si>
  <si>
    <t>HP-A-05</t>
  </si>
  <si>
    <t>최대건</t>
  </si>
  <si>
    <t>HP-A-06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</si>
  <si>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</si>
  <si>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</si>
  <si>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</si>
  <si>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</si>
  <si>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</si>
  <si>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</si>
  <si>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</si>
  <si>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</si>
  <si>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[표3]</t>
    <phoneticPr fontId="1" type="noConversion"/>
  </si>
  <si>
    <t>교양 성적표</t>
  </si>
  <si>
    <t>영어발표대회</t>
    <phoneticPr fontId="1" type="noConversion"/>
  </si>
  <si>
    <t>점수</t>
    <phoneticPr fontId="1" type="noConversion"/>
  </si>
  <si>
    <t>결과</t>
    <phoneticPr fontId="1" type="noConversion"/>
  </si>
  <si>
    <t>정보처리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</si>
  <si>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</si>
  <si>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</si>
  <si>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</si>
  <si>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</si>
  <si>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</si>
  <si>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</si>
  <si>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</si>
  <si>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</si>
  <si>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</si>
  <si>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</si>
  <si>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</si>
  <si>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</si>
  <si>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</si>
  <si>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</si>
  <si>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</si>
  <si>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</si>
  <si>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</si>
  <si>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컴퓨터-정보처리 점수 차이</t>
  </si>
  <si>
    <t>최미영</t>
    <phoneticPr fontId="1" type="noConversion"/>
  </si>
  <si>
    <t>[표5]</t>
    <phoneticPr fontId="1" type="noConversion"/>
  </si>
  <si>
    <t>상공몰 판매현황</t>
  </si>
  <si>
    <t>카테고리</t>
  </si>
  <si>
    <t>상품명</t>
    <phoneticPr fontId="1" type="noConversion"/>
  </si>
  <si>
    <t>총판매액</t>
  </si>
  <si>
    <t>채소</t>
  </si>
  <si>
    <t>양배추</t>
  </si>
  <si>
    <t>과일</t>
  </si>
  <si>
    <t>바나나</t>
  </si>
  <si>
    <t>포도</t>
  </si>
  <si>
    <t>정육</t>
  </si>
  <si>
    <t>닭고기</t>
  </si>
  <si>
    <t>사과</t>
  </si>
  <si>
    <t>돼지고기</t>
  </si>
  <si>
    <t>&lt;조건&gt;</t>
    <phoneticPr fontId="1" type="noConversion"/>
  </si>
  <si>
    <t>감자</t>
  </si>
  <si>
    <t>과일 총판매액 합계</t>
    <phoneticPr fontId="1" type="noConversion"/>
  </si>
  <si>
    <t>[표1]</t>
    <phoneticPr fontId="1" type="noConversion"/>
  </si>
  <si>
    <t>수학경시대회 결과</t>
    <phoneticPr fontId="1" type="noConversion"/>
  </si>
  <si>
    <t>[표2]</t>
    <phoneticPr fontId="1" type="noConversion"/>
  </si>
  <si>
    <t>도서판매현황</t>
    <phoneticPr fontId="1" type="noConversion"/>
  </si>
  <si>
    <t>참가번호</t>
    <phoneticPr fontId="1" type="noConversion"/>
  </si>
  <si>
    <t>이름</t>
    <phoneticPr fontId="1" type="noConversion"/>
  </si>
  <si>
    <t>출신지역</t>
    <phoneticPr fontId="1" type="noConversion"/>
  </si>
  <si>
    <t>평가점수</t>
    <phoneticPr fontId="1" type="noConversion"/>
  </si>
  <si>
    <t>서점</t>
    <phoneticPr fontId="1" type="noConversion"/>
  </si>
  <si>
    <t>도서</t>
    <phoneticPr fontId="1" type="noConversion"/>
  </si>
  <si>
    <t>상반기</t>
    <phoneticPr fontId="1" type="noConversion"/>
  </si>
  <si>
    <t>하반기</t>
    <phoneticPr fontId="1" type="noConversion"/>
  </si>
  <si>
    <t>합계</t>
    <phoneticPr fontId="1" type="noConversion"/>
  </si>
  <si>
    <t>P00001</t>
    <phoneticPr fontId="1" type="noConversion"/>
  </si>
  <si>
    <t>강준호</t>
    <phoneticPr fontId="1" type="noConversion"/>
  </si>
  <si>
    <t>서울</t>
    <phoneticPr fontId="1" type="noConversion"/>
  </si>
  <si>
    <t>하나문고</t>
    <phoneticPr fontId="1" type="noConversion"/>
  </si>
  <si>
    <t>SF</t>
    <phoneticPr fontId="1" type="noConversion"/>
  </si>
  <si>
    <t>SF</t>
    <phoneticPr fontId="1" type="noConversion"/>
  </si>
  <si>
    <t>P00002</t>
  </si>
  <si>
    <t>안혜진</t>
    <phoneticPr fontId="1" type="noConversion"/>
  </si>
  <si>
    <t>북스토리</t>
    <phoneticPr fontId="1" type="noConversion"/>
  </si>
  <si>
    <t>소설</t>
    <phoneticPr fontId="1" type="noConversion"/>
  </si>
  <si>
    <t>P00003</t>
  </si>
  <si>
    <t>한지민</t>
    <phoneticPr fontId="1" type="noConversion"/>
  </si>
  <si>
    <t>부산</t>
    <phoneticPr fontId="1" type="noConversion"/>
  </si>
  <si>
    <t>낮의서점</t>
    <phoneticPr fontId="1" type="noConversion"/>
  </si>
  <si>
    <t>로맨스</t>
    <phoneticPr fontId="1" type="noConversion"/>
  </si>
  <si>
    <t>P00004</t>
  </si>
  <si>
    <t>유서연</t>
    <phoneticPr fontId="1" type="noConversion"/>
  </si>
  <si>
    <t>서울</t>
    <phoneticPr fontId="1" type="noConversion"/>
  </si>
  <si>
    <t>망원서점</t>
    <phoneticPr fontId="1" type="noConversion"/>
  </si>
  <si>
    <t>P00005</t>
  </si>
  <si>
    <t>정병우</t>
    <phoneticPr fontId="1" type="noConversion"/>
  </si>
  <si>
    <t>노란책방</t>
    <phoneticPr fontId="1" type="noConversion"/>
  </si>
  <si>
    <t>P00006</t>
  </si>
  <si>
    <t>한지은</t>
    <phoneticPr fontId="1" type="noConversion"/>
  </si>
  <si>
    <t>책크인</t>
    <phoneticPr fontId="1" type="noConversion"/>
  </si>
  <si>
    <t>P00007</t>
  </si>
  <si>
    <t>최방원</t>
    <phoneticPr fontId="1" type="noConversion"/>
  </si>
  <si>
    <t>인천</t>
    <phoneticPr fontId="1" type="noConversion"/>
  </si>
  <si>
    <t>우리문고</t>
    <phoneticPr fontId="1" type="noConversion"/>
  </si>
  <si>
    <t>출신지역이 서울인 학생수</t>
    <phoneticPr fontId="1" type="noConversion"/>
  </si>
  <si>
    <t>국민서점</t>
    <phoneticPr fontId="1" type="noConversion"/>
  </si>
  <si>
    <t>[표3]</t>
    <phoneticPr fontId="1" type="noConversion"/>
  </si>
  <si>
    <t>상공은행 대출현황</t>
    <phoneticPr fontId="1" type="noConversion"/>
  </si>
  <si>
    <t>(단위:만원)</t>
    <phoneticPr fontId="1" type="noConversion"/>
  </si>
  <si>
    <t>소설 최대값-최소값 차이</t>
    <phoneticPr fontId="1" type="noConversion"/>
  </si>
  <si>
    <t>대출상품</t>
    <phoneticPr fontId="1" type="noConversion"/>
  </si>
  <si>
    <t>고객명</t>
    <phoneticPr fontId="1" type="noConversion"/>
  </si>
  <si>
    <t>대출금액</t>
    <phoneticPr fontId="1" type="noConversion"/>
  </si>
  <si>
    <t>이자</t>
    <phoneticPr fontId="1" type="noConversion"/>
  </si>
  <si>
    <t>결혼자금</t>
    <phoneticPr fontId="1" type="noConversion"/>
  </si>
  <si>
    <t>결혼자금</t>
    <phoneticPr fontId="1" type="noConversion"/>
  </si>
  <si>
    <t>박혜경</t>
    <phoneticPr fontId="1" type="noConversion"/>
  </si>
  <si>
    <t>주택마련</t>
    <phoneticPr fontId="1" type="noConversion"/>
  </si>
  <si>
    <t>조세웅</t>
    <phoneticPr fontId="1" type="noConversion"/>
  </si>
  <si>
    <t>출산</t>
    <phoneticPr fontId="1" type="noConversion"/>
  </si>
  <si>
    <t>김연중</t>
    <phoneticPr fontId="1" type="noConversion"/>
  </si>
  <si>
    <t>예금</t>
    <phoneticPr fontId="1" type="noConversion"/>
  </si>
  <si>
    <t>이민호</t>
    <phoneticPr fontId="1" type="noConversion"/>
  </si>
  <si>
    <t>높이뛰기 기록(cm)</t>
  </si>
  <si>
    <t>학자금</t>
    <phoneticPr fontId="1" type="noConversion"/>
  </si>
  <si>
    <t>황미경</t>
    <phoneticPr fontId="1" type="noConversion"/>
  </si>
  <si>
    <t>참가번호</t>
    <phoneticPr fontId="1" type="noConversion"/>
  </si>
  <si>
    <t>선수명</t>
    <phoneticPr fontId="1" type="noConversion"/>
  </si>
  <si>
    <t>수상</t>
    <phoneticPr fontId="1" type="noConversion"/>
  </si>
  <si>
    <t>유광현</t>
    <phoneticPr fontId="1" type="noConversion"/>
  </si>
  <si>
    <t>&lt;이자율표&gt;</t>
    <phoneticPr fontId="1" type="noConversion"/>
  </si>
  <si>
    <t>김현진</t>
    <phoneticPr fontId="1" type="noConversion"/>
  </si>
  <si>
    <t>대출상품</t>
    <phoneticPr fontId="1" type="noConversion"/>
  </si>
  <si>
    <t>이자율</t>
    <phoneticPr fontId="1" type="noConversion"/>
  </si>
  <si>
    <t>이의조</t>
    <phoneticPr fontId="1" type="noConversion"/>
  </si>
  <si>
    <t>이경민</t>
    <phoneticPr fontId="1" type="noConversion"/>
  </si>
  <si>
    <t>고회식</t>
    <phoneticPr fontId="1" type="noConversion"/>
  </si>
  <si>
    <t>김준용</t>
    <phoneticPr fontId="1" type="noConversion"/>
  </si>
  <si>
    <t>학자금</t>
    <phoneticPr fontId="1" type="noConversion"/>
  </si>
  <si>
    <t>이상식</t>
    <phoneticPr fontId="1" type="noConversion"/>
  </si>
  <si>
    <t>예금</t>
    <phoneticPr fontId="1" type="noConversion"/>
  </si>
  <si>
    <t>손지혁</t>
    <phoneticPr fontId="1" type="noConversion"/>
  </si>
  <si>
    <t>[표5]</t>
    <phoneticPr fontId="1" type="noConversion"/>
  </si>
  <si>
    <t>국가별 환율</t>
    <phoneticPr fontId="1" type="noConversion"/>
  </si>
  <si>
    <t>통화명</t>
    <phoneticPr fontId="1" type="noConversion"/>
  </si>
  <si>
    <t>환율</t>
    <phoneticPr fontId="1" type="noConversion"/>
  </si>
  <si>
    <t>USD</t>
    <phoneticPr fontId="1" type="noConversion"/>
  </si>
  <si>
    <t>AUD</t>
    <phoneticPr fontId="1" type="noConversion"/>
  </si>
  <si>
    <t>GBP</t>
    <phoneticPr fontId="1" type="noConversion"/>
  </si>
  <si>
    <t>JPY</t>
    <phoneticPr fontId="1" type="noConversion"/>
  </si>
  <si>
    <t>환율</t>
    <phoneticPr fontId="1" type="noConversion"/>
  </si>
  <si>
    <t>CNY</t>
    <phoneticPr fontId="1" type="noConversion"/>
  </si>
  <si>
    <t>AUD</t>
    <phoneticPr fontId="1" type="noConversion"/>
  </si>
  <si>
    <t>사내 하프 마라톤</t>
    <phoneticPr fontId="1" type="noConversion"/>
  </si>
  <si>
    <t>[표2]</t>
    <phoneticPr fontId="1" type="noConversion"/>
  </si>
  <si>
    <t>상공클럽 가입 현황</t>
    <phoneticPr fontId="1" type="noConversion"/>
  </si>
  <si>
    <t>참가번호</t>
    <phoneticPr fontId="1" type="noConversion"/>
  </si>
  <si>
    <t>선수명</t>
    <phoneticPr fontId="1" type="noConversion"/>
  </si>
  <si>
    <t>기록</t>
    <phoneticPr fontId="1" type="noConversion"/>
  </si>
  <si>
    <t>순위</t>
    <phoneticPr fontId="1" type="noConversion"/>
  </si>
  <si>
    <t>이종혁</t>
    <phoneticPr fontId="1" type="noConversion"/>
  </si>
  <si>
    <t>회원명</t>
    <phoneticPr fontId="1" type="noConversion"/>
  </si>
  <si>
    <t>가입일</t>
    <phoneticPr fontId="1" type="noConversion"/>
  </si>
  <si>
    <t>등급</t>
    <phoneticPr fontId="1" type="noConversion"/>
  </si>
  <si>
    <t>박준형</t>
    <phoneticPr fontId="1" type="noConversion"/>
  </si>
  <si>
    <t>이연희</t>
    <phoneticPr fontId="1" type="noConversion"/>
  </si>
  <si>
    <t>김희재</t>
    <phoneticPr fontId="1" type="noConversion"/>
  </si>
  <si>
    <t>박장훈</t>
    <phoneticPr fontId="1" type="noConversion"/>
  </si>
  <si>
    <t>김한순</t>
    <phoneticPr fontId="1" type="noConversion"/>
  </si>
  <si>
    <t>강동엽</t>
    <phoneticPr fontId="1" type="noConversion"/>
  </si>
  <si>
    <t>고회식</t>
    <phoneticPr fontId="1" type="noConversion"/>
  </si>
  <si>
    <t>유승희</t>
    <phoneticPr fontId="1" type="noConversion"/>
  </si>
  <si>
    <t>지승대</t>
    <phoneticPr fontId="1" type="noConversion"/>
  </si>
  <si>
    <t>황진주</t>
    <phoneticPr fontId="1" type="noConversion"/>
  </si>
  <si>
    <t>박해수</t>
    <phoneticPr fontId="1" type="noConversion"/>
  </si>
  <si>
    <t>어수한</t>
    <phoneticPr fontId="1" type="noConversion"/>
  </si>
  <si>
    <t>[표3]</t>
    <phoneticPr fontId="1" type="noConversion"/>
  </si>
  <si>
    <t>사원 판매 현황</t>
    <phoneticPr fontId="1" type="noConversion"/>
  </si>
  <si>
    <t>[표4]</t>
    <phoneticPr fontId="1" type="noConversion"/>
  </si>
  <si>
    <t>사원 평가 현황</t>
    <phoneticPr fontId="1" type="noConversion"/>
  </si>
  <si>
    <t>사원명</t>
    <phoneticPr fontId="1" type="noConversion"/>
  </si>
  <si>
    <t>지점</t>
    <phoneticPr fontId="1" type="noConversion"/>
  </si>
  <si>
    <t>수량</t>
    <phoneticPr fontId="1" type="noConversion"/>
  </si>
  <si>
    <t>판매금액</t>
    <phoneticPr fontId="1" type="noConversion"/>
  </si>
  <si>
    <t>사원명</t>
    <phoneticPr fontId="1" type="noConversion"/>
  </si>
  <si>
    <t>업무능력</t>
    <phoneticPr fontId="1" type="noConversion"/>
  </si>
  <si>
    <t>대인관계</t>
    <phoneticPr fontId="1" type="noConversion"/>
  </si>
  <si>
    <t>회화능력</t>
    <phoneticPr fontId="1" type="noConversion"/>
  </si>
  <si>
    <t>평가</t>
    <phoneticPr fontId="1" type="noConversion"/>
  </si>
  <si>
    <t>이세훈</t>
    <phoneticPr fontId="1" type="noConversion"/>
  </si>
  <si>
    <t>북부</t>
    <phoneticPr fontId="1" type="noConversion"/>
  </si>
  <si>
    <t>강수진</t>
    <phoneticPr fontId="1" type="noConversion"/>
  </si>
  <si>
    <t>한범준</t>
    <phoneticPr fontId="1" type="noConversion"/>
  </si>
  <si>
    <t>남부</t>
    <phoneticPr fontId="1" type="noConversion"/>
  </si>
  <si>
    <t>최성욱</t>
    <phoneticPr fontId="1" type="noConversion"/>
  </si>
  <si>
    <t>신솔지</t>
    <phoneticPr fontId="1" type="noConversion"/>
  </si>
  <si>
    <t>북부</t>
    <phoneticPr fontId="1" type="noConversion"/>
  </si>
  <si>
    <t>고혜란</t>
    <phoneticPr fontId="1" type="noConversion"/>
  </si>
  <si>
    <t>권지애</t>
  </si>
  <si>
    <t>김은주</t>
    <phoneticPr fontId="1" type="noConversion"/>
  </si>
  <si>
    <t>오세민</t>
  </si>
  <si>
    <t>이경원</t>
    <phoneticPr fontId="1" type="noConversion"/>
  </si>
  <si>
    <t>조현우</t>
    <phoneticPr fontId="1" type="noConversion"/>
  </si>
  <si>
    <t>임선호</t>
    <phoneticPr fontId="1" type="noConversion"/>
  </si>
  <si>
    <t>이명복</t>
    <phoneticPr fontId="1" type="noConversion"/>
  </si>
  <si>
    <t>남부</t>
    <phoneticPr fontId="1" type="noConversion"/>
  </si>
  <si>
    <t>김상욱</t>
    <phoneticPr fontId="1" type="noConversion"/>
  </si>
  <si>
    <t>권지향</t>
    <phoneticPr fontId="1" type="noConversion"/>
  </si>
  <si>
    <t>이상희</t>
    <phoneticPr fontId="1" type="noConversion"/>
  </si>
  <si>
    <t>평균판매금액</t>
    <phoneticPr fontId="1" type="noConversion"/>
  </si>
  <si>
    <t>&lt;평가기준표&gt;</t>
    <phoneticPr fontId="1" type="noConversion"/>
  </si>
  <si>
    <t>점수</t>
    <phoneticPr fontId="1" type="noConversion"/>
  </si>
  <si>
    <t>평가</t>
    <phoneticPr fontId="1" type="noConversion"/>
  </si>
  <si>
    <t>미흡</t>
    <phoneticPr fontId="1" type="noConversion"/>
  </si>
  <si>
    <t>보통</t>
    <phoneticPr fontId="1" type="noConversion"/>
  </si>
  <si>
    <t>양호</t>
    <phoneticPr fontId="1" type="noConversion"/>
  </si>
  <si>
    <t>우수</t>
    <phoneticPr fontId="1" type="noConversion"/>
  </si>
  <si>
    <t>[표5]</t>
    <phoneticPr fontId="1" type="noConversion"/>
  </si>
  <si>
    <t>화장품 판매 현황</t>
    <phoneticPr fontId="1" type="noConversion"/>
  </si>
  <si>
    <t>제품ID</t>
    <phoneticPr fontId="1" type="noConversion"/>
  </si>
  <si>
    <t>제조국</t>
    <phoneticPr fontId="1" type="noConversion"/>
  </si>
  <si>
    <t>분류</t>
    <phoneticPr fontId="1" type="noConversion"/>
  </si>
  <si>
    <t>판매량</t>
    <phoneticPr fontId="1" type="noConversion"/>
  </si>
  <si>
    <t>매출액</t>
    <phoneticPr fontId="1" type="noConversion"/>
  </si>
  <si>
    <t>A293</t>
    <phoneticPr fontId="1" type="noConversion"/>
  </si>
  <si>
    <t>프랑스</t>
    <phoneticPr fontId="1" type="noConversion"/>
  </si>
  <si>
    <t>남성</t>
    <phoneticPr fontId="1" type="noConversion"/>
  </si>
  <si>
    <t>S351</t>
    <phoneticPr fontId="1" type="noConversion"/>
  </si>
  <si>
    <t>미국</t>
    <phoneticPr fontId="1" type="noConversion"/>
  </si>
  <si>
    <t>여성</t>
    <phoneticPr fontId="1" type="noConversion"/>
  </si>
  <si>
    <t>D687</t>
    <phoneticPr fontId="1" type="noConversion"/>
  </si>
  <si>
    <t>캐나다</t>
    <phoneticPr fontId="1" type="noConversion"/>
  </si>
  <si>
    <t>K902</t>
    <phoneticPr fontId="1" type="noConversion"/>
  </si>
  <si>
    <t>B325</t>
    <phoneticPr fontId="1" type="noConversion"/>
  </si>
  <si>
    <t>프랑스</t>
    <phoneticPr fontId="1" type="noConversion"/>
  </si>
  <si>
    <t>C674</t>
    <phoneticPr fontId="1" type="noConversion"/>
  </si>
  <si>
    <t>캐나다</t>
    <phoneticPr fontId="1" type="noConversion"/>
  </si>
  <si>
    <t>M110</t>
    <phoneticPr fontId="1" type="noConversion"/>
  </si>
  <si>
    <t>미국</t>
    <phoneticPr fontId="1" type="noConversion"/>
  </si>
  <si>
    <t>P728</t>
    <phoneticPr fontId="1" type="noConversion"/>
  </si>
  <si>
    <t>남성</t>
    <phoneticPr fontId="1" type="noConversion"/>
  </si>
  <si>
    <t>H594</t>
    <phoneticPr fontId="1" type="noConversion"/>
  </si>
  <si>
    <t>프랑스</t>
  </si>
  <si>
    <t>판매량합계</t>
    <phoneticPr fontId="1" type="noConversion"/>
  </si>
  <si>
    <t>매출액합계</t>
    <phoneticPr fontId="1" type="noConversion"/>
  </si>
  <si>
    <t>사원 관리 현황</t>
    <phoneticPr fontId="1" type="noConversion"/>
  </si>
  <si>
    <t>기준일 :</t>
    <phoneticPr fontId="1" type="noConversion"/>
  </si>
  <si>
    <t>상여급</t>
    <phoneticPr fontId="1" type="noConversion"/>
  </si>
  <si>
    <t>사원명</t>
    <phoneticPr fontId="1" type="noConversion"/>
  </si>
  <si>
    <t>부서명</t>
    <phoneticPr fontId="1" type="noConversion"/>
  </si>
  <si>
    <t>입사일자</t>
    <phoneticPr fontId="1" type="noConversion"/>
  </si>
  <si>
    <t>근무</t>
    <phoneticPr fontId="1" type="noConversion"/>
  </si>
  <si>
    <t>생산부</t>
    <phoneticPr fontId="1" type="noConversion"/>
  </si>
  <si>
    <t>영업부</t>
    <phoneticPr fontId="1" type="noConversion"/>
  </si>
  <si>
    <t>기획부</t>
    <phoneticPr fontId="1" type="noConversion"/>
  </si>
  <si>
    <t>상여급 평균</t>
    <phoneticPr fontId="1" type="noConversion"/>
  </si>
  <si>
    <t>강진성</t>
    <phoneticPr fontId="1" type="noConversion"/>
  </si>
  <si>
    <t>이향기</t>
    <phoneticPr fontId="1" type="noConversion"/>
  </si>
  <si>
    <t>이동준</t>
    <phoneticPr fontId="1" type="noConversion"/>
  </si>
  <si>
    <t>화요일</t>
  </si>
  <si>
    <t>수요일</t>
  </si>
  <si>
    <t>목요일</t>
  </si>
  <si>
    <t>금요일</t>
  </si>
  <si>
    <t>토요일</t>
  </si>
  <si>
    <t>일요일</t>
  </si>
  <si>
    <t>[표1]</t>
    <phoneticPr fontId="1" type="noConversion"/>
  </si>
  <si>
    <t>TV</t>
    <phoneticPr fontId="1" type="noConversion"/>
  </si>
  <si>
    <t>&lt;조건&gt;</t>
    <phoneticPr fontId="1" type="noConversion"/>
  </si>
  <si>
    <t>청소기</t>
    <phoneticPr fontId="1" type="noConversion"/>
  </si>
  <si>
    <t>삼성-대림 수량 차이</t>
    <phoneticPr fontId="1" type="noConversion"/>
  </si>
  <si>
    <t>생산 현황</t>
    <phoneticPr fontId="1" type="noConversion"/>
  </si>
  <si>
    <t>공장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</si>
  <si>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</si>
  <si>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</si>
  <si>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</si>
  <si>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1공장</t>
    <phoneticPr fontId="1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</si>
  <si>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</si>
  <si>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</si>
  <si>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</si>
  <si>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</si>
  <si>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</si>
  <si>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</si>
  <si>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</si>
  <si>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  <phoneticPr fontId="1" type="noConversion"/>
  </si>
  <si>
    <t>&lt;조건&gt;</t>
    <phoneticPr fontId="1" type="noConversion"/>
  </si>
  <si>
    <t>80점 이상 사원수</t>
    <phoneticPr fontId="1" type="noConversion"/>
  </si>
  <si>
    <t>[표3]</t>
    <phoneticPr fontId="1" type="noConversion"/>
  </si>
  <si>
    <t>사원 현황</t>
  </si>
  <si>
    <t>사원번호</t>
  </si>
  <si>
    <t>사원명</t>
    <phoneticPr fontId="1" type="noConversion"/>
  </si>
  <si>
    <t>직위</t>
    <phoneticPr fontId="1" type="noConversion"/>
  </si>
  <si>
    <t>A-23</t>
  </si>
  <si>
    <t>과장</t>
    <phoneticPr fontId="1" type="noConversion"/>
  </si>
  <si>
    <t>B-34</t>
  </si>
  <si>
    <t>이길순</t>
  </si>
  <si>
    <t>과장</t>
    <phoneticPr fontId="1" type="noConversion"/>
  </si>
  <si>
    <t>C-11</t>
  </si>
  <si>
    <t>대리</t>
    <phoneticPr fontId="1" type="noConversion"/>
  </si>
  <si>
    <t>B-44</t>
  </si>
  <si>
    <t>C-22</t>
  </si>
  <si>
    <t>A-32</t>
  </si>
  <si>
    <t>김보견</t>
  </si>
  <si>
    <t>사원</t>
    <phoneticPr fontId="1" type="noConversion"/>
  </si>
  <si>
    <t>B-13</t>
  </si>
  <si>
    <t>천수만</t>
  </si>
  <si>
    <t>A-21</t>
  </si>
  <si>
    <t>이성수</t>
  </si>
  <si>
    <t>회원 관리 현황</t>
    <phoneticPr fontId="1" type="noConversion"/>
  </si>
  <si>
    <t>회원명</t>
    <phoneticPr fontId="1" type="noConversion"/>
  </si>
  <si>
    <t>성별</t>
    <phoneticPr fontId="1" type="noConversion"/>
  </si>
  <si>
    <t>가입일</t>
    <phoneticPr fontId="1" type="noConversion"/>
  </si>
  <si>
    <t>가입한요일</t>
    <phoneticPr fontId="1" type="noConversion"/>
  </si>
  <si>
    <t>&lt;요일구분표&gt;</t>
    <phoneticPr fontId="1" type="noConversion"/>
  </si>
  <si>
    <t>남</t>
    <phoneticPr fontId="1" type="noConversion"/>
  </si>
  <si>
    <t>구분</t>
    <phoneticPr fontId="1" type="noConversion"/>
  </si>
  <si>
    <t>요일</t>
    <phoneticPr fontId="1" type="noConversion"/>
  </si>
  <si>
    <t>이상희</t>
    <phoneticPr fontId="1" type="noConversion"/>
  </si>
  <si>
    <t>여</t>
    <phoneticPr fontId="1" type="noConversion"/>
  </si>
  <si>
    <t>월요일</t>
    <phoneticPr fontId="1" type="noConversion"/>
  </si>
  <si>
    <t>김보연</t>
    <phoneticPr fontId="1" type="noConversion"/>
  </si>
  <si>
    <t>신정아</t>
    <phoneticPr fontId="1" type="noConversion"/>
  </si>
  <si>
    <t>이성미</t>
    <phoneticPr fontId="1" type="noConversion"/>
  </si>
  <si>
    <t>여</t>
    <phoneticPr fontId="1" type="noConversion"/>
  </si>
  <si>
    <t>[표1]</t>
    <phoneticPr fontId="1" type="noConversion"/>
  </si>
  <si>
    <t>[표1]</t>
    <phoneticPr fontId="1" type="noConversion"/>
  </si>
  <si>
    <t>1학기 성적표</t>
    <phoneticPr fontId="1" type="noConversion"/>
  </si>
  <si>
    <t>[표2]</t>
    <phoneticPr fontId="1" type="noConversion"/>
  </si>
  <si>
    <t>도서 대여 현황</t>
    <phoneticPr fontId="1" type="noConversion"/>
  </si>
  <si>
    <t>번호</t>
    <phoneticPr fontId="1" type="noConversion"/>
  </si>
  <si>
    <t>성명</t>
    <phoneticPr fontId="1" type="noConversion"/>
  </si>
  <si>
    <t>성별</t>
    <phoneticPr fontId="1" type="noConversion"/>
  </si>
  <si>
    <t>점수</t>
    <phoneticPr fontId="1" type="noConversion"/>
  </si>
  <si>
    <t>비고</t>
    <phoneticPr fontId="1" type="noConversion"/>
  </si>
  <si>
    <t>대여일자</t>
    <phoneticPr fontId="1" type="noConversion"/>
  </si>
  <si>
    <t>회원ID</t>
    <phoneticPr fontId="1" type="noConversion"/>
  </si>
  <si>
    <t>성명</t>
    <phoneticPr fontId="1" type="noConversion"/>
  </si>
  <si>
    <t>분류</t>
    <phoneticPr fontId="1" type="noConversion"/>
  </si>
  <si>
    <t>도서코드</t>
    <phoneticPr fontId="1" type="noConversion"/>
  </si>
  <si>
    <t>변효정</t>
    <phoneticPr fontId="1" type="noConversion"/>
  </si>
  <si>
    <t>여</t>
    <phoneticPr fontId="1" type="noConversion"/>
  </si>
  <si>
    <t>6월2일</t>
    <phoneticPr fontId="1" type="noConversion"/>
  </si>
  <si>
    <t>6월2일</t>
    <phoneticPr fontId="1" type="noConversion"/>
  </si>
  <si>
    <t>K-001</t>
    <phoneticPr fontId="1" type="noConversion"/>
  </si>
  <si>
    <t>김원중</t>
    <phoneticPr fontId="1" type="noConversion"/>
  </si>
  <si>
    <t>경영</t>
    <phoneticPr fontId="1" type="noConversion"/>
  </si>
  <si>
    <t>E-4521</t>
    <phoneticPr fontId="1" type="noConversion"/>
  </si>
  <si>
    <t>정영진</t>
    <phoneticPr fontId="1" type="noConversion"/>
  </si>
  <si>
    <t>특기생</t>
    <phoneticPr fontId="1" type="noConversion"/>
  </si>
  <si>
    <t>P-001</t>
    <phoneticPr fontId="1" type="noConversion"/>
  </si>
  <si>
    <t>박현수</t>
    <phoneticPr fontId="1" type="noConversion"/>
  </si>
  <si>
    <t>취미</t>
    <phoneticPr fontId="1" type="noConversion"/>
  </si>
  <si>
    <t>S-1690</t>
    <phoneticPr fontId="1" type="noConversion"/>
  </si>
  <si>
    <t>김성현</t>
    <phoneticPr fontId="1" type="noConversion"/>
  </si>
  <si>
    <t>남</t>
    <phoneticPr fontId="1" type="noConversion"/>
  </si>
  <si>
    <t>6월7일</t>
    <phoneticPr fontId="1" type="noConversion"/>
  </si>
  <si>
    <t>K-002</t>
    <phoneticPr fontId="1" type="noConversion"/>
  </si>
  <si>
    <t>배은서</t>
    <phoneticPr fontId="1" type="noConversion"/>
  </si>
  <si>
    <t>여행</t>
    <phoneticPr fontId="1" type="noConversion"/>
  </si>
  <si>
    <t>K-5413</t>
    <phoneticPr fontId="1" type="noConversion"/>
  </si>
  <si>
    <t>서동희</t>
    <phoneticPr fontId="1" type="noConversion"/>
  </si>
  <si>
    <t>여</t>
    <phoneticPr fontId="1" type="noConversion"/>
  </si>
  <si>
    <t>특기생</t>
    <phoneticPr fontId="1" type="noConversion"/>
  </si>
  <si>
    <t>6월7일</t>
    <phoneticPr fontId="1" type="noConversion"/>
  </si>
  <si>
    <t>P-002</t>
    <phoneticPr fontId="1" type="noConversion"/>
  </si>
  <si>
    <t>이예소</t>
    <phoneticPr fontId="1" type="noConversion"/>
  </si>
  <si>
    <t>이예소</t>
    <phoneticPr fontId="1" type="noConversion"/>
  </si>
  <si>
    <t>소설</t>
    <phoneticPr fontId="1" type="noConversion"/>
  </si>
  <si>
    <t>G-8378</t>
    <phoneticPr fontId="1" type="noConversion"/>
  </si>
  <si>
    <t>박지연</t>
    <phoneticPr fontId="1" type="noConversion"/>
  </si>
  <si>
    <t>6월7일</t>
    <phoneticPr fontId="1" type="noConversion"/>
  </si>
  <si>
    <t>K-001</t>
    <phoneticPr fontId="1" type="noConversion"/>
  </si>
  <si>
    <t>김원중</t>
    <phoneticPr fontId="1" type="noConversion"/>
  </si>
  <si>
    <t>정치</t>
    <phoneticPr fontId="1" type="noConversion"/>
  </si>
  <si>
    <t>H-5105</t>
    <phoneticPr fontId="1" type="noConversion"/>
  </si>
  <si>
    <t>최정욱</t>
    <phoneticPr fontId="1" type="noConversion"/>
  </si>
  <si>
    <t>6월10일</t>
    <phoneticPr fontId="1" type="noConversion"/>
  </si>
  <si>
    <t>P-002</t>
    <phoneticPr fontId="1" type="noConversion"/>
  </si>
  <si>
    <t>외국어</t>
    <phoneticPr fontId="1" type="noConversion"/>
  </si>
  <si>
    <t>F-6962</t>
    <phoneticPr fontId="1" type="noConversion"/>
  </si>
  <si>
    <t>이수연</t>
    <phoneticPr fontId="1" type="noConversion"/>
  </si>
  <si>
    <t>K-001</t>
    <phoneticPr fontId="1" type="noConversion"/>
  </si>
  <si>
    <t>김원중</t>
    <phoneticPr fontId="1" type="noConversion"/>
  </si>
  <si>
    <t>사회</t>
    <phoneticPr fontId="1" type="noConversion"/>
  </si>
  <si>
    <t>D-2074</t>
    <phoneticPr fontId="1" type="noConversion"/>
  </si>
  <si>
    <t>&lt;조건&gt;</t>
    <phoneticPr fontId="1" type="noConversion"/>
  </si>
  <si>
    <t>남여최대평균점수</t>
    <phoneticPr fontId="1" type="noConversion"/>
  </si>
  <si>
    <t>회원ID</t>
    <phoneticPr fontId="1" type="noConversion"/>
  </si>
  <si>
    <t>P-001</t>
    <phoneticPr fontId="1" type="noConversion"/>
  </si>
  <si>
    <t>P-002</t>
    <phoneticPr fontId="1" type="noConversion"/>
  </si>
  <si>
    <t>남</t>
    <phoneticPr fontId="1" type="noConversion"/>
  </si>
  <si>
    <t>회원구분</t>
    <phoneticPr fontId="1" type="noConversion"/>
  </si>
  <si>
    <t>회원 관리 현황</t>
    <phoneticPr fontId="1" type="noConversion"/>
  </si>
  <si>
    <t>자동차 주행 기록</t>
    <phoneticPr fontId="1" type="noConversion"/>
  </si>
  <si>
    <t>회원코드</t>
    <phoneticPr fontId="1" type="noConversion"/>
  </si>
  <si>
    <t>성명</t>
    <phoneticPr fontId="1" type="noConversion"/>
  </si>
  <si>
    <t>지역</t>
    <phoneticPr fontId="1" type="noConversion"/>
  </si>
  <si>
    <t>관심분야</t>
    <phoneticPr fontId="1" type="noConversion"/>
  </si>
  <si>
    <t>선수명</t>
    <phoneticPr fontId="1" type="noConversion"/>
  </si>
  <si>
    <t>출발시간</t>
    <phoneticPr fontId="1" type="noConversion"/>
  </si>
  <si>
    <t>도착시간</t>
    <phoneticPr fontId="1" type="noConversion"/>
  </si>
  <si>
    <t>주행기록</t>
    <phoneticPr fontId="1" type="noConversion"/>
  </si>
  <si>
    <t>DA-482</t>
    <phoneticPr fontId="1" type="noConversion"/>
  </si>
  <si>
    <t>윤성철</t>
    <phoneticPr fontId="1" type="noConversion"/>
  </si>
  <si>
    <t>강서구</t>
    <phoneticPr fontId="1" type="noConversion"/>
  </si>
  <si>
    <t>카마스터</t>
    <phoneticPr fontId="1" type="noConversion"/>
  </si>
  <si>
    <t>유한열</t>
    <phoneticPr fontId="1" type="noConversion"/>
  </si>
  <si>
    <t>DA-161</t>
    <phoneticPr fontId="1" type="noConversion"/>
  </si>
  <si>
    <t>서기운</t>
    <phoneticPr fontId="1" type="noConversion"/>
  </si>
  <si>
    <t>송파구</t>
    <phoneticPr fontId="1" type="noConversion"/>
  </si>
  <si>
    <t>튼튼자동차</t>
    <phoneticPr fontId="1" type="noConversion"/>
  </si>
  <si>
    <t>강현준</t>
    <phoneticPr fontId="1" type="noConversion"/>
  </si>
  <si>
    <t>DA-293</t>
    <phoneticPr fontId="1" type="noConversion"/>
  </si>
  <si>
    <t>김유진</t>
    <phoneticPr fontId="1" type="noConversion"/>
  </si>
  <si>
    <t>서초구</t>
    <phoneticPr fontId="1" type="noConversion"/>
  </si>
  <si>
    <t>붕붕모터스</t>
    <phoneticPr fontId="1" type="noConversion"/>
  </si>
  <si>
    <t>이규창</t>
    <phoneticPr fontId="1" type="noConversion"/>
  </si>
  <si>
    <t>DA-974</t>
    <phoneticPr fontId="1" type="noConversion"/>
  </si>
  <si>
    <t>이영애</t>
    <phoneticPr fontId="1" type="noConversion"/>
  </si>
  <si>
    <t>관악구</t>
    <phoneticPr fontId="1" type="noConversion"/>
  </si>
  <si>
    <t>오토마스터</t>
    <phoneticPr fontId="1" type="noConversion"/>
  </si>
  <si>
    <t>김민수</t>
    <phoneticPr fontId="1" type="noConversion"/>
  </si>
  <si>
    <t>DA-811</t>
    <phoneticPr fontId="1" type="noConversion"/>
  </si>
  <si>
    <t>장석영</t>
    <phoneticPr fontId="1" type="noConversion"/>
  </si>
  <si>
    <t>마포구</t>
    <phoneticPr fontId="1" type="noConversion"/>
  </si>
  <si>
    <t>남</t>
    <phoneticPr fontId="1" type="noConversion"/>
  </si>
  <si>
    <t>유명자동차</t>
    <phoneticPr fontId="1" type="noConversion"/>
  </si>
  <si>
    <t>신선부</t>
    <phoneticPr fontId="1" type="noConversion"/>
  </si>
  <si>
    <t>DA-693</t>
    <phoneticPr fontId="1" type="noConversion"/>
  </si>
  <si>
    <t>김나운</t>
    <phoneticPr fontId="1" type="noConversion"/>
  </si>
  <si>
    <t>종로구</t>
    <phoneticPr fontId="1" type="noConversion"/>
  </si>
  <si>
    <t>성공자동차</t>
    <phoneticPr fontId="1" type="noConversion"/>
  </si>
  <si>
    <t>조영수</t>
    <phoneticPr fontId="1" type="noConversion"/>
  </si>
  <si>
    <t>DA-575</t>
    <phoneticPr fontId="1" type="noConversion"/>
  </si>
  <si>
    <t>노미경</t>
    <phoneticPr fontId="1" type="noConversion"/>
  </si>
  <si>
    <t>은평구</t>
    <phoneticPr fontId="1" type="noConversion"/>
  </si>
  <si>
    <t>턴스피드</t>
    <phoneticPr fontId="1" type="noConversion"/>
  </si>
  <si>
    <t>한용욱</t>
    <phoneticPr fontId="1" type="noConversion"/>
  </si>
  <si>
    <t>[표5]</t>
    <phoneticPr fontId="1" type="noConversion"/>
  </si>
  <si>
    <t>선수 기록</t>
    <phoneticPr fontId="1" type="noConversion"/>
  </si>
  <si>
    <t>농구팀</t>
    <phoneticPr fontId="1" type="noConversion"/>
  </si>
  <si>
    <t>선수명</t>
    <phoneticPr fontId="1" type="noConversion"/>
  </si>
  <si>
    <t>어시스트</t>
    <phoneticPr fontId="1" type="noConversion"/>
  </si>
  <si>
    <t>리바운드</t>
    <phoneticPr fontId="1" type="noConversion"/>
  </si>
  <si>
    <t>서울NK</t>
    <phoneticPr fontId="1" type="noConversion"/>
  </si>
  <si>
    <t>장하원</t>
    <phoneticPr fontId="1" type="noConversion"/>
  </si>
  <si>
    <t>수원KG</t>
    <phoneticPr fontId="1" type="noConversion"/>
  </si>
  <si>
    <t>조성민</t>
    <phoneticPr fontId="1" type="noConversion"/>
  </si>
  <si>
    <t>안양GK</t>
    <phoneticPr fontId="1" type="noConversion"/>
  </si>
  <si>
    <t>현주식</t>
    <phoneticPr fontId="1" type="noConversion"/>
  </si>
  <si>
    <t>울산MB</t>
    <phoneticPr fontId="1" type="noConversion"/>
  </si>
  <si>
    <t>강해진</t>
    <phoneticPr fontId="1" type="noConversion"/>
  </si>
  <si>
    <t>고양OR</t>
    <phoneticPr fontId="1" type="noConversion"/>
  </si>
  <si>
    <t>김태용</t>
    <phoneticPr fontId="1" type="noConversion"/>
  </si>
  <si>
    <t>대구KO</t>
    <phoneticPr fontId="1" type="noConversion"/>
  </si>
  <si>
    <t>장희철</t>
    <phoneticPr fontId="1" type="noConversion"/>
  </si>
  <si>
    <t>우수선수 수</t>
    <phoneticPr fontId="1" type="noConversion"/>
  </si>
  <si>
    <t>창원SC</t>
    <phoneticPr fontId="1" type="noConversion"/>
  </si>
  <si>
    <t>이장훈</t>
    <phoneticPr fontId="1" type="noConversion"/>
  </si>
  <si>
    <t>총생산량</t>
    <phoneticPr fontId="1" type="noConversion"/>
  </si>
  <si>
    <t>&lt;제품 코드표&gt;</t>
    <phoneticPr fontId="1" type="noConversion"/>
  </si>
  <si>
    <t>경리부</t>
    <phoneticPr fontId="1" type="noConversion"/>
  </si>
  <si>
    <t>&gt;=80</t>
    <phoneticPr fontId="1" type="noConversion"/>
  </si>
  <si>
    <t>&gt;=90</t>
    <phoneticPr fontId="1" type="noConversion"/>
  </si>
  <si>
    <t>영어</t>
    <phoneticPr fontId="1" type="noConversion"/>
  </si>
  <si>
    <t>전산</t>
    <phoneticPr fontId="1" type="noConversion"/>
  </si>
  <si>
    <t>계열</t>
    <phoneticPr fontId="1" type="noConversion"/>
  </si>
  <si>
    <t>건축과</t>
    <phoneticPr fontId="1" type="noConversion"/>
  </si>
  <si>
    <t>평점</t>
    <phoneticPr fontId="1" type="noConversion"/>
  </si>
  <si>
    <t>매입처</t>
    <phoneticPr fontId="1" type="noConversion"/>
  </si>
  <si>
    <t>삼성상사</t>
    <phoneticPr fontId="1" type="noConversion"/>
  </si>
  <si>
    <t>대림상사</t>
    <phoneticPr fontId="1" type="noConversion"/>
  </si>
  <si>
    <t>카테고리</t>
    <phoneticPr fontId="1" type="noConversion"/>
  </si>
  <si>
    <t>과일</t>
    <phoneticPr fontId="1" type="noConversion"/>
  </si>
  <si>
    <t>경영학과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</si>
</sst>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yyyy&quot;/&quot;m&quot;/&quot;d;@"/>
    <numFmt numFmtId="177" formatCode="#,##0_ "/>
    <numFmt numFmtId="178" formatCode="0\ &quot;이상&quot;"/>
    <numFmt numFmtId="179" formatCode="0\ &quot;미&quot;&quot;만&quot;"/>
    <numFmt numFmtId="180" formatCode="0\ &quot;이&quot;&quot;하&quot;"/>
    <numFmt numFmtId="181" formatCode="mm&quot;월&quot;\ dd&quot;일&quot;"/>
    <numFmt numFmtId="182" formatCode="#,##0.00_ "/>
    <numFmt numFmtId="183" formatCode="h:mm:ss;@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/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>
      <alignment vertical="center"/>
    </xf>
    <xf numFmtId="0" fontId="0" fillId="0" borderId="2" xfId="1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2" xfId="3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0" fontId="4" fillId="0" borderId="0" xfId="0" applyFont="1">
      <alignment vertical="center"/>
    </xf>
    <xf numFmtId="178" fontId="0" fillId="0" borderId="2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/>
    </xf>
    <xf numFmtId="177" fontId="0" fillId="0" borderId="2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8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0" applyNumberFormat="1">
      <alignment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>
      <alignment vertical="center"/>
    </xf>
    <xf numFmtId="9" fontId="0" fillId="0" borderId="2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182" fontId="0" fillId="0" borderId="2" xfId="1" applyNumberFormat="1" applyFon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183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1" fontId="0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8">
    <cellStyle name="백분율" xfId="2" builtinId="5"/>
    <cellStyle name="쉼표 [0]" xfId="1" builtinId="6"/>
    <cellStyle name="쉼표 [0] 10" xfId="13" xr:uid="{00000000-0005-0000-0000-000002000000}"/>
    <cellStyle name="쉼표 [0] 11" xfId="11" xr:uid="{00000000-0005-0000-0000-000003000000}"/>
    <cellStyle name="쉼표 [0] 12" xfId="8" xr:uid="{00000000-0005-0000-0000-000004000000}"/>
    <cellStyle name="쉼표 [0] 2 2" xfId="9" xr:uid="{00000000-0005-0000-0000-000005000000}"/>
    <cellStyle name="쉼표 [0] 7 2" xfId="7" xr:uid="{00000000-0005-0000-0000-000006000000}"/>
    <cellStyle name="쉼표 [0] 8" xfId="17" xr:uid="{00000000-0005-0000-0000-000007000000}"/>
    <cellStyle name="쉼표 [0] 9" xfId="15" xr:uid="{00000000-0005-0000-0000-000008000000}"/>
    <cellStyle name="표준" xfId="0" builtinId="0"/>
    <cellStyle name="표준 10" xfId="12" xr:uid="{00000000-0005-0000-0000-00000A000000}"/>
    <cellStyle name="표준 11" xfId="10" xr:uid="{00000000-0005-0000-0000-00000B000000}"/>
    <cellStyle name="표준 12" xfId="5" xr:uid="{00000000-0005-0000-0000-00000C000000}"/>
    <cellStyle name="표준 2" xfId="3" xr:uid="{00000000-0005-0000-0000-00000D000000}"/>
    <cellStyle name="표준 2 2 2" xfId="6" xr:uid="{00000000-0005-0000-0000-00000E000000}"/>
    <cellStyle name="표준 8" xfId="16" xr:uid="{00000000-0005-0000-0000-00000F000000}"/>
    <cellStyle name="표준 8 2" xfId="4" xr:uid="{00000000-0005-0000-0000-000010000000}"/>
    <cellStyle name="표준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ji2/Desktop/05%20&#52572;&#49888;&#44592;&#52636;&#47928;&#51228;/03%2015&#45380;3&#54924;2&#44553;D&#54805;(&#51221;&#45813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ji2/Desktop/05%20&#52572;&#49888;&#44592;&#52636;&#47928;&#51228;/01%2013&#45380;&#49345;&#49884;2&#44553;(&#51221;&#45813;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ji2/Desktop/01%2016&#45380;1&#54924;2&#44553;E&#54805;(&#51221;&#45813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시나리오 요약"/>
      <sheetName val="분석작업-1"/>
      <sheetName val="분석작업-2"/>
      <sheetName val="매크로작업"/>
      <sheetName val="차트작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L32"/>
  <sheetViews>
    <sheetView topLeftCell="A19" workbookViewId="0">
      <selection activeCell="D32" sqref="D32"/>
    </sheetView>
  </sheetViews>
  <sheetFormatPr defaultRowHeight="17.399999999999999"/>
  <cols>
    <col min="1" max="1" width="11" customWidth="1"/>
    <col min="2" max="2" width="9.5" customWidth="1"/>
    <col min="3" max="4" width="10.69921875" bestFit="1" customWidth="1"/>
    <col min="5" max="5" width="3.59765625" customWidth="1"/>
    <col min="6" max="7" width="9.19921875" customWidth="1"/>
    <col min="8" max="8" width="9.09765625" customWidth="1"/>
    <col min="9" max="9" width="9.296875" bestFit="1" customWidth="1"/>
    <col min="10" max="10" width="8.296875" customWidth="1"/>
    <col min="11" max="11" width="2.19921875" customWidth="1"/>
    <col min="12" max="12" width="11.59765625" bestFit="1" customWidth="1"/>
  </cols>
  <sheetData>
    <row r="1" spans="1:12">
      <c r="A1" s="1"/>
      <c r="B1" s="15" t="s">
        <v>1495</v>
      </c>
      <c r="C1" s="15"/>
      <c r="D1" s="15"/>
      <c r="F1" s="2" t="s">
        <v>1</v>
      </c>
      <c r="G1" s="8" t="s">
        <v>2</v>
      </c>
      <c r="H1" s="8"/>
      <c r="I1" s="8"/>
      <c r="J1" s="8"/>
    </row>
    <row r="2" spans="1:12">
      <c r="C2" s="25" t="s">
        <v>1496</v>
      </c>
      <c r="D2" s="34">
        <v>44682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1497</v>
      </c>
    </row>
    <row r="3" spans="1:12">
      <c r="A3" s="4" t="s">
        <v>1498</v>
      </c>
      <c r="B3" s="4" t="s">
        <v>1499</v>
      </c>
      <c r="C3" s="4" t="s">
        <v>1500</v>
      </c>
      <c r="D3" s="11" t="s">
        <v>1501</v>
      </c>
      <c r="F3" s="4" t="s">
        <v>7</v>
      </c>
      <c r="G3" s="4" t="s">
        <v>8</v>
      </c>
      <c r="H3" s="3">
        <v>20400</v>
      </c>
      <c r="I3" s="3">
        <v>9600</v>
      </c>
      <c r="J3" s="3">
        <v>20000</v>
      </c>
    </row>
    <row r="4" spans="1:12">
      <c r="A4" s="4" t="s">
        <v>9</v>
      </c>
      <c r="B4" s="4" t="s">
        <v>1502</v>
      </c>
      <c r="C4" s="7">
        <v>42453</v>
      </c>
      <c r="D4" s="4" t="str">
        <f>IF(YEAR($D$2)-YEAR(C4)&gt;=10,"★",IF(YEAR($D$2)-YEAR(C4)&gt;=5,"☆",""))</f>
        <v>☆</v>
      </c>
      <c r="F4" s="4" t="s">
        <v>10</v>
      </c>
      <c r="G4" s="4" t="s">
        <v>11</v>
      </c>
      <c r="H4" s="3">
        <v>12000</v>
      </c>
      <c r="I4" s="3">
        <v>3600</v>
      </c>
      <c r="J4" s="3">
        <v>10400</v>
      </c>
    </row>
    <row r="5" spans="1:12">
      <c r="A5" s="4" t="s">
        <v>12</v>
      </c>
      <c r="B5" s="4" t="s">
        <v>1502</v>
      </c>
      <c r="C5" s="7">
        <v>43787</v>
      </c>
      <c r="D5" s="4" t="str">
        <f t="shared" ref="D5:D9" si="0">IF(YEAR($D$2)-YEAR(C5)&gt;=10,"★",IF(YEAR($D$2)-YEAR(C5)&gt;=5,"☆",""))</f>
        <v/>
      </c>
      <c r="F5" s="4" t="s">
        <v>13</v>
      </c>
      <c r="G5" s="4" t="s">
        <v>14</v>
      </c>
      <c r="H5" s="3">
        <v>21600</v>
      </c>
      <c r="I5" s="3">
        <v>9600</v>
      </c>
      <c r="J5" s="3">
        <v>20800</v>
      </c>
      <c r="L5" s="4" t="s">
        <v>1499</v>
      </c>
    </row>
    <row r="6" spans="1:12">
      <c r="A6" s="4" t="s">
        <v>15</v>
      </c>
      <c r="B6" s="4" t="s">
        <v>1503</v>
      </c>
      <c r="C6" s="7">
        <v>40307</v>
      </c>
      <c r="D6" s="4" t="str">
        <f t="shared" si="0"/>
        <v>★</v>
      </c>
      <c r="F6" s="4" t="s">
        <v>16</v>
      </c>
      <c r="G6" s="4" t="s">
        <v>14</v>
      </c>
      <c r="H6" s="3">
        <v>14400</v>
      </c>
      <c r="I6" s="3">
        <v>3600</v>
      </c>
      <c r="J6" s="3">
        <v>12000</v>
      </c>
      <c r="L6" s="4" t="s">
        <v>1091</v>
      </c>
    </row>
    <row r="7" spans="1:12">
      <c r="A7" s="4" t="s">
        <v>17</v>
      </c>
      <c r="B7" s="4" t="s">
        <v>1503</v>
      </c>
      <c r="C7" s="7">
        <v>41569</v>
      </c>
      <c r="D7" s="4" t="str">
        <f t="shared" si="0"/>
        <v>☆</v>
      </c>
      <c r="F7" s="4" t="s">
        <v>18</v>
      </c>
      <c r="G7" s="4" t="s">
        <v>14</v>
      </c>
      <c r="H7" s="3">
        <v>15600</v>
      </c>
      <c r="I7" s="3">
        <v>6000</v>
      </c>
      <c r="J7" s="3">
        <v>14400</v>
      </c>
    </row>
    <row r="8" spans="1:12">
      <c r="A8" s="4" t="s">
        <v>19</v>
      </c>
      <c r="B8" s="4" t="s">
        <v>1504</v>
      </c>
      <c r="C8" s="7">
        <v>43258</v>
      </c>
      <c r="D8" s="4" t="str">
        <f t="shared" si="0"/>
        <v/>
      </c>
      <c r="F8" s="4" t="s">
        <v>20</v>
      </c>
      <c r="G8" s="4" t="s">
        <v>11</v>
      </c>
      <c r="H8" s="3">
        <v>19200</v>
      </c>
      <c r="I8" s="3">
        <v>9600</v>
      </c>
      <c r="J8" s="3">
        <v>19200</v>
      </c>
      <c r="L8" s="11" t="s">
        <v>1505</v>
      </c>
    </row>
    <row r="9" spans="1:12">
      <c r="A9" s="4" t="s">
        <v>1506</v>
      </c>
      <c r="B9" s="4" t="s">
        <v>1504</v>
      </c>
      <c r="C9" s="7">
        <v>44077</v>
      </c>
      <c r="D9" s="4" t="str">
        <f t="shared" si="0"/>
        <v/>
      </c>
      <c r="F9" s="4" t="s">
        <v>21</v>
      </c>
      <c r="G9" s="4" t="s">
        <v>11</v>
      </c>
      <c r="H9" s="3">
        <v>13200</v>
      </c>
      <c r="I9" s="3">
        <v>3600</v>
      </c>
      <c r="J9" s="3">
        <v>11200</v>
      </c>
      <c r="L9" s="13">
        <f>ROUND(DAVERAGE(F2:J9,5,L5:L6),-2)</f>
        <v>15700</v>
      </c>
    </row>
    <row r="11" spans="1:12">
      <c r="A11" s="2" t="s">
        <v>22</v>
      </c>
      <c r="B11" s="8" t="s">
        <v>23</v>
      </c>
      <c r="C11" s="8"/>
      <c r="D11" s="8"/>
      <c r="F11" s="2" t="s">
        <v>24</v>
      </c>
      <c r="G11" s="8" t="s">
        <v>25</v>
      </c>
      <c r="H11" s="8"/>
      <c r="I11" s="8"/>
    </row>
    <row r="12" spans="1:12">
      <c r="A12" s="4" t="s">
        <v>26</v>
      </c>
      <c r="B12" s="4" t="s">
        <v>27</v>
      </c>
      <c r="C12" s="4" t="s">
        <v>28</v>
      </c>
      <c r="D12" s="11" t="s">
        <v>29</v>
      </c>
      <c r="F12" s="4" t="s">
        <v>30</v>
      </c>
      <c r="G12" s="4" t="s">
        <v>31</v>
      </c>
      <c r="H12" s="4" t="s">
        <v>32</v>
      </c>
      <c r="I12" s="11" t="s">
        <v>33</v>
      </c>
    </row>
    <row r="13" spans="1:12">
      <c r="A13" s="4" t="s">
        <v>34</v>
      </c>
      <c r="B13" s="4" t="s">
        <v>35</v>
      </c>
      <c r="C13" s="4">
        <v>432</v>
      </c>
      <c r="D13" s="4" t="str">
        <f>CHOOSE(_xlfn.RANK.EQ(C13,$C$13:$C$18,1),"A","A","B","B","C","C")</f>
        <v>A</v>
      </c>
      <c r="F13" s="4" t="s">
        <v>36</v>
      </c>
      <c r="G13" s="4" t="s">
        <v>37</v>
      </c>
      <c r="H13" s="4">
        <v>45</v>
      </c>
      <c r="I13" s="3">
        <f>H13*VLOOKUP(RIGHT(F13,1),$F$24:$H$28,3,FALSE)</f>
        <v>135000</v>
      </c>
    </row>
    <row r="14" spans="1:12">
      <c r="A14" s="4" t="s">
        <v>38</v>
      </c>
      <c r="B14" s="4" t="s">
        <v>39</v>
      </c>
      <c r="C14" s="4">
        <v>498</v>
      </c>
      <c r="D14" s="4" t="str">
        <f t="shared" ref="D14:D18" si="1">CHOOSE(_xlfn.RANK.EQ(C14,$C$13:$C$18,1),"A","A","B","B","C","C")</f>
        <v>C</v>
      </c>
      <c r="F14" s="4" t="s">
        <v>40</v>
      </c>
      <c r="G14" s="4" t="s">
        <v>41</v>
      </c>
      <c r="H14" s="4">
        <v>89</v>
      </c>
      <c r="I14" s="3">
        <f t="shared" ref="I14:I20" si="2">H14*VLOOKUP(RIGHT(F14,1),$F$24:$H$28,3,FALSE)</f>
        <v>400500</v>
      </c>
    </row>
    <row r="15" spans="1:12">
      <c r="A15" s="4" t="s">
        <v>42</v>
      </c>
      <c r="B15" s="4" t="s">
        <v>43</v>
      </c>
      <c r="C15" s="4">
        <v>412</v>
      </c>
      <c r="D15" s="4" t="str">
        <f t="shared" si="1"/>
        <v>A</v>
      </c>
      <c r="F15" s="4" t="s">
        <v>44</v>
      </c>
      <c r="G15" s="4" t="s">
        <v>45</v>
      </c>
      <c r="H15" s="4">
        <v>230</v>
      </c>
      <c r="I15" s="3">
        <f t="shared" si="2"/>
        <v>345000</v>
      </c>
    </row>
    <row r="16" spans="1:12">
      <c r="A16" s="4" t="s">
        <v>46</v>
      </c>
      <c r="B16" s="4" t="s">
        <v>47</v>
      </c>
      <c r="C16" s="4">
        <v>456</v>
      </c>
      <c r="D16" s="4" t="str">
        <f t="shared" si="1"/>
        <v>B</v>
      </c>
      <c r="F16" s="4" t="s">
        <v>48</v>
      </c>
      <c r="G16" s="4" t="s">
        <v>49</v>
      </c>
      <c r="H16" s="4">
        <v>30</v>
      </c>
      <c r="I16" s="3">
        <f t="shared" si="2"/>
        <v>168000</v>
      </c>
    </row>
    <row r="17" spans="1:9">
      <c r="A17" s="4" t="s">
        <v>34</v>
      </c>
      <c r="B17" s="4" t="s">
        <v>50</v>
      </c>
      <c r="C17" s="4">
        <v>493</v>
      </c>
      <c r="D17" s="4" t="str">
        <f t="shared" si="1"/>
        <v>C</v>
      </c>
      <c r="F17" s="4" t="s">
        <v>51</v>
      </c>
      <c r="G17" s="4" t="s">
        <v>37</v>
      </c>
      <c r="H17" s="4">
        <v>120</v>
      </c>
      <c r="I17" s="3">
        <f t="shared" si="2"/>
        <v>360000</v>
      </c>
    </row>
    <row r="18" spans="1:9">
      <c r="A18" s="4" t="s">
        <v>38</v>
      </c>
      <c r="B18" s="4" t="s">
        <v>52</v>
      </c>
      <c r="C18" s="4">
        <v>438</v>
      </c>
      <c r="D18" s="4" t="str">
        <f t="shared" si="1"/>
        <v>B</v>
      </c>
      <c r="F18" s="4" t="s">
        <v>53</v>
      </c>
      <c r="G18" s="4" t="s">
        <v>54</v>
      </c>
      <c r="H18" s="4">
        <v>120</v>
      </c>
      <c r="I18" s="3">
        <f t="shared" si="2"/>
        <v>384000</v>
      </c>
    </row>
    <row r="19" spans="1:9">
      <c r="F19" s="4" t="s">
        <v>55</v>
      </c>
      <c r="G19" s="4" t="s">
        <v>41</v>
      </c>
      <c r="H19" s="4">
        <v>125</v>
      </c>
      <c r="I19" s="3">
        <f t="shared" si="2"/>
        <v>562500</v>
      </c>
    </row>
    <row r="20" spans="1:9">
      <c r="F20" s="4" t="s">
        <v>56</v>
      </c>
      <c r="G20" s="4" t="s">
        <v>45</v>
      </c>
      <c r="H20" s="4">
        <v>60</v>
      </c>
      <c r="I20" s="3">
        <f t="shared" si="2"/>
        <v>90000</v>
      </c>
    </row>
    <row r="22" spans="1:9">
      <c r="A22" s="2" t="s">
        <v>57</v>
      </c>
      <c r="B22" s="8" t="s">
        <v>58</v>
      </c>
      <c r="C22" s="8"/>
      <c r="D22" s="8"/>
      <c r="F22" s="39" t="s">
        <v>1709</v>
      </c>
      <c r="G22" s="39"/>
      <c r="H22" s="39"/>
    </row>
    <row r="23" spans="1:9">
      <c r="A23" s="4" t="s">
        <v>59</v>
      </c>
      <c r="B23" s="4" t="s">
        <v>60</v>
      </c>
      <c r="C23" s="4" t="s">
        <v>61</v>
      </c>
      <c r="D23" s="4" t="s">
        <v>33</v>
      </c>
      <c r="F23" s="4" t="s">
        <v>62</v>
      </c>
      <c r="G23" s="4" t="s">
        <v>31</v>
      </c>
      <c r="H23" s="4" t="s">
        <v>63</v>
      </c>
    </row>
    <row r="24" spans="1:9">
      <c r="A24" s="4" t="s">
        <v>64</v>
      </c>
      <c r="B24" s="4" t="s">
        <v>65</v>
      </c>
      <c r="C24" s="4">
        <v>20</v>
      </c>
      <c r="D24" s="3">
        <v>240000</v>
      </c>
      <c r="F24" s="4" t="s">
        <v>66</v>
      </c>
      <c r="G24" s="4" t="s">
        <v>37</v>
      </c>
      <c r="H24" s="3">
        <v>3000</v>
      </c>
    </row>
    <row r="25" spans="1:9">
      <c r="A25" s="4" t="s">
        <v>67</v>
      </c>
      <c r="B25" s="4" t="s">
        <v>68</v>
      </c>
      <c r="C25" s="4">
        <v>7</v>
      </c>
      <c r="D25" s="3">
        <v>84000</v>
      </c>
      <c r="F25" s="4" t="s">
        <v>69</v>
      </c>
      <c r="G25" s="4" t="s">
        <v>41</v>
      </c>
      <c r="H25" s="3">
        <v>4500</v>
      </c>
    </row>
    <row r="26" spans="1:9">
      <c r="A26" s="4" t="s">
        <v>70</v>
      </c>
      <c r="B26" s="4" t="s">
        <v>71</v>
      </c>
      <c r="C26" s="4">
        <v>7</v>
      </c>
      <c r="D26" s="3">
        <v>80500</v>
      </c>
      <c r="F26" s="4" t="s">
        <v>72</v>
      </c>
      <c r="G26" s="4" t="s">
        <v>45</v>
      </c>
      <c r="H26" s="3">
        <v>1500</v>
      </c>
    </row>
    <row r="27" spans="1:9">
      <c r="A27" s="4" t="s">
        <v>64</v>
      </c>
      <c r="B27" s="4" t="s">
        <v>73</v>
      </c>
      <c r="C27" s="4">
        <v>12</v>
      </c>
      <c r="D27" s="3">
        <v>300000</v>
      </c>
      <c r="F27" s="4" t="s">
        <v>74</v>
      </c>
      <c r="G27" s="4" t="s">
        <v>49</v>
      </c>
      <c r="H27" s="3">
        <v>5600</v>
      </c>
    </row>
    <row r="28" spans="1:9">
      <c r="A28" s="4" t="s">
        <v>70</v>
      </c>
      <c r="B28" s="4" t="s">
        <v>75</v>
      </c>
      <c r="C28" s="4">
        <v>12</v>
      </c>
      <c r="D28" s="3">
        <v>150000</v>
      </c>
      <c r="F28" s="4" t="s">
        <v>76</v>
      </c>
      <c r="G28" s="4" t="s">
        <v>54</v>
      </c>
      <c r="H28" s="3">
        <v>3200</v>
      </c>
    </row>
    <row r="29" spans="1:9">
      <c r="A29" s="4" t="s">
        <v>67</v>
      </c>
      <c r="B29" s="4" t="s">
        <v>71</v>
      </c>
      <c r="C29" s="4">
        <v>7</v>
      </c>
      <c r="D29" s="3">
        <v>80500</v>
      </c>
    </row>
    <row r="30" spans="1:9">
      <c r="A30" s="4" t="s">
        <v>70</v>
      </c>
      <c r="B30" s="4" t="s">
        <v>77</v>
      </c>
      <c r="C30" s="4">
        <v>15</v>
      </c>
      <c r="D30" s="3">
        <v>278250</v>
      </c>
    </row>
    <row r="32" spans="1:9">
      <c r="A32" s="36" t="s">
        <v>78</v>
      </c>
      <c r="B32" s="37"/>
      <c r="C32" s="38"/>
      <c r="D32" s="5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5"/>
  <sheetViews>
    <sheetView topLeftCell="A22" workbookViewId="0">
      <selection activeCell="F35" sqref="F35"/>
    </sheetView>
  </sheetViews>
  <sheetFormatPr defaultRowHeight="17.399999999999999"/>
  <cols>
    <col min="1" max="1" width="9" customWidth="1"/>
    <col min="2" max="2" width="11.09765625" customWidth="1"/>
    <col min="3" max="13" width="9" customWidth="1"/>
  </cols>
  <sheetData>
    <row r="1" spans="1:13">
      <c r="A1" s="1" t="s">
        <v>1515</v>
      </c>
      <c r="B1" s="8" t="s">
        <v>433</v>
      </c>
      <c r="C1" s="8"/>
      <c r="D1" s="8"/>
      <c r="G1" s="2" t="s">
        <v>1</v>
      </c>
      <c r="H1" s="8" t="s">
        <v>99</v>
      </c>
      <c r="I1" s="8"/>
      <c r="J1" s="8"/>
    </row>
    <row r="2" spans="1:13">
      <c r="A2" s="4" t="s">
        <v>264</v>
      </c>
      <c r="B2" s="4" t="s">
        <v>434</v>
      </c>
      <c r="C2" s="4" t="s">
        <v>61</v>
      </c>
      <c r="D2" s="11" t="s">
        <v>435</v>
      </c>
      <c r="G2" s="4" t="s">
        <v>436</v>
      </c>
      <c r="H2" s="4" t="s">
        <v>437</v>
      </c>
      <c r="I2" s="4" t="s">
        <v>438</v>
      </c>
      <c r="J2" s="4" t="s">
        <v>439</v>
      </c>
    </row>
    <row r="3" spans="1:13">
      <c r="A3" s="4" t="s">
        <v>1516</v>
      </c>
      <c r="B3" s="7">
        <v>44570</v>
      </c>
      <c r="C3" s="4">
        <v>15</v>
      </c>
      <c r="D3" s="4" t="str">
        <f>CHOOSE(WEEKDAY(B3),"일요일","","","","","","","토요일")</f>
        <v>일요일</v>
      </c>
      <c r="G3" s="4" t="s">
        <v>440</v>
      </c>
      <c r="H3" s="13">
        <v>1240</v>
      </c>
      <c r="I3" s="4">
        <v>10</v>
      </c>
      <c r="J3" s="4" t="s">
        <v>441</v>
      </c>
      <c r="L3" s="44" t="s">
        <v>1517</v>
      </c>
      <c r="M3" s="44"/>
    </row>
    <row r="4" spans="1:13">
      <c r="A4" s="4" t="s">
        <v>1518</v>
      </c>
      <c r="B4" s="7">
        <v>44571</v>
      </c>
      <c r="C4" s="4">
        <v>8</v>
      </c>
      <c r="D4" s="4" t="str">
        <f t="shared" ref="D4:D10" si="0">CHOOSE(WEEKDAY(B4),"일요일","","","","","","","토요일")</f>
        <v/>
      </c>
      <c r="G4" s="4" t="s">
        <v>442</v>
      </c>
      <c r="H4" s="13">
        <v>2450</v>
      </c>
      <c r="I4" s="4">
        <v>20</v>
      </c>
      <c r="J4" s="4" t="s">
        <v>443</v>
      </c>
      <c r="L4" s="4" t="s">
        <v>1718</v>
      </c>
      <c r="M4" s="4" t="s">
        <v>1718</v>
      </c>
    </row>
    <row r="5" spans="1:13">
      <c r="A5" s="4" t="s">
        <v>288</v>
      </c>
      <c r="B5" s="7">
        <v>44573</v>
      </c>
      <c r="C5" s="4">
        <v>30</v>
      </c>
      <c r="D5" s="4" t="str">
        <f t="shared" si="0"/>
        <v/>
      </c>
      <c r="G5" s="4" t="s">
        <v>444</v>
      </c>
      <c r="H5" s="13">
        <v>1400</v>
      </c>
      <c r="I5" s="4">
        <v>35</v>
      </c>
      <c r="J5" s="4" t="s">
        <v>445</v>
      </c>
      <c r="L5" s="4" t="s">
        <v>1719</v>
      </c>
      <c r="M5" s="4" t="s">
        <v>1720</v>
      </c>
    </row>
    <row r="6" spans="1:13">
      <c r="A6" s="4" t="s">
        <v>284</v>
      </c>
      <c r="B6" s="7">
        <v>44581</v>
      </c>
      <c r="C6" s="4">
        <v>20</v>
      </c>
      <c r="D6" s="4" t="str">
        <f t="shared" si="0"/>
        <v/>
      </c>
      <c r="G6" s="4" t="s">
        <v>447</v>
      </c>
      <c r="H6" s="13">
        <v>2300</v>
      </c>
      <c r="I6" s="4">
        <v>5</v>
      </c>
      <c r="J6" s="4" t="s">
        <v>446</v>
      </c>
    </row>
    <row r="7" spans="1:13">
      <c r="A7" s="4" t="s">
        <v>286</v>
      </c>
      <c r="B7" s="7">
        <v>44582</v>
      </c>
      <c r="C7" s="4">
        <v>12</v>
      </c>
      <c r="D7" s="4" t="str">
        <f t="shared" si="0"/>
        <v/>
      </c>
      <c r="G7" s="4" t="s">
        <v>448</v>
      </c>
      <c r="H7" s="13">
        <v>1500</v>
      </c>
      <c r="I7" s="4">
        <v>11</v>
      </c>
      <c r="J7" s="4" t="s">
        <v>446</v>
      </c>
      <c r="L7" s="36" t="s">
        <v>1519</v>
      </c>
      <c r="M7" s="38"/>
    </row>
    <row r="8" spans="1:13">
      <c r="A8" s="4" t="s">
        <v>288</v>
      </c>
      <c r="B8" s="7">
        <v>44634</v>
      </c>
      <c r="C8" s="4">
        <v>31</v>
      </c>
      <c r="D8" s="4" t="str">
        <f t="shared" si="0"/>
        <v/>
      </c>
      <c r="G8" s="4" t="s">
        <v>449</v>
      </c>
      <c r="H8" s="13">
        <v>1670</v>
      </c>
      <c r="I8" s="4">
        <v>30</v>
      </c>
      <c r="J8" s="4" t="s">
        <v>441</v>
      </c>
      <c r="L8" s="40">
        <f>ABS(DSUM(G2:J11,3,L4:L5)-DSUM(G2:J11,3,M4:M5))</f>
        <v>81</v>
      </c>
      <c r="M8" s="41"/>
    </row>
    <row r="9" spans="1:13">
      <c r="A9" s="4" t="s">
        <v>284</v>
      </c>
      <c r="B9" s="7">
        <v>44850</v>
      </c>
      <c r="C9" s="4">
        <v>24</v>
      </c>
      <c r="D9" s="4" t="str">
        <f t="shared" si="0"/>
        <v>일요일</v>
      </c>
      <c r="G9" s="4" t="s">
        <v>450</v>
      </c>
      <c r="H9" s="13">
        <v>1580</v>
      </c>
      <c r="I9" s="4">
        <v>45</v>
      </c>
      <c r="J9" s="4" t="s">
        <v>443</v>
      </c>
    </row>
    <row r="10" spans="1:13">
      <c r="A10" s="4" t="s">
        <v>1518</v>
      </c>
      <c r="B10" s="7">
        <v>44851</v>
      </c>
      <c r="C10" s="4">
        <v>16</v>
      </c>
      <c r="D10" s="4" t="str">
        <f t="shared" si="0"/>
        <v/>
      </c>
      <c r="G10" s="4" t="s">
        <v>451</v>
      </c>
      <c r="H10" s="13">
        <v>3560</v>
      </c>
      <c r="I10" s="4">
        <v>20</v>
      </c>
      <c r="J10" s="4" t="s">
        <v>445</v>
      </c>
    </row>
    <row r="11" spans="1:13">
      <c r="G11" s="4" t="s">
        <v>452</v>
      </c>
      <c r="H11" s="13">
        <v>2570</v>
      </c>
      <c r="I11" s="4">
        <v>32</v>
      </c>
      <c r="J11" s="4" t="s">
        <v>443</v>
      </c>
    </row>
    <row r="13" spans="1:13">
      <c r="A13" s="2" t="s">
        <v>100</v>
      </c>
      <c r="B13" s="8" t="s">
        <v>1520</v>
      </c>
      <c r="C13" s="8"/>
      <c r="D13" s="8"/>
      <c r="E13" s="8"/>
      <c r="G13" s="2" t="s">
        <v>24</v>
      </c>
      <c r="H13" s="8" t="s">
        <v>453</v>
      </c>
      <c r="I13" s="8"/>
      <c r="J13" s="8"/>
      <c r="K13" s="8"/>
      <c r="L13" s="8"/>
      <c r="M13" s="8"/>
    </row>
    <row r="14" spans="1:13">
      <c r="A14" s="4" t="s">
        <v>1521</v>
      </c>
      <c r="B14" s="4" t="s">
        <v>1522</v>
      </c>
      <c r="C14" s="4" t="s">
        <v>1523</v>
      </c>
      <c r="D14" s="4" t="s">
        <v>1524</v>
      </c>
      <c r="E14" s="4" t="s">
        <v>1708</v>
      </c>
      <c r="G14" s="4" t="s">
        <v>122</v>
      </c>
      <c r="H14" s="4" t="s">
        <v>454</v>
      </c>
      <c r="I14" s="4" t="s">
        <v>455</v>
      </c>
      <c r="J14" s="4" t="s">
        <v>456</v>
      </c>
      <c r="K14" s="4" t="s">
        <v>457</v>
      </c>
      <c r="L14" s="4" t="s">
        <v>458</v>
      </c>
      <c r="M14" s="11" t="s">
        <v>459</v>
      </c>
    </row>
    <row r="15" spans="1:13">
      <c r="A15" s="4" t="s">
        <v>1525</v>
      </c>
      <c r="B15" s="13">
        <v>6500</v>
      </c>
      <c r="C15" s="13">
        <v>8000</v>
      </c>
      <c r="D15" s="13">
        <v>7500</v>
      </c>
      <c r="E15" s="13">
        <f>SUM(B15:D15)</f>
        <v>22000</v>
      </c>
      <c r="G15" s="4" t="s">
        <v>460</v>
      </c>
      <c r="H15" s="4" t="s">
        <v>461</v>
      </c>
      <c r="I15" s="4" t="s">
        <v>461</v>
      </c>
      <c r="J15" s="4" t="s">
        <v>461</v>
      </c>
      <c r="K15" s="4" t="s">
        <v>461</v>
      </c>
      <c r="L15" s="4" t="s">
        <v>461</v>
      </c>
      <c r="M15" s="4" t="str">
        <f>IF(COUNTA(H15:L15)=5,"만점","")</f>
        <v>만점</v>
      </c>
    </row>
    <row r="16" spans="1:13">
      <c r="A16" s="4" t="s">
        <v>1526</v>
      </c>
      <c r="B16" s="13">
        <v>8000</v>
      </c>
      <c r="C16" s="13">
        <v>7500</v>
      </c>
      <c r="D16" s="13">
        <v>8500</v>
      </c>
      <c r="E16" s="13">
        <f t="shared" ref="E16:E22" si="1">SUM(B16:D16)</f>
        <v>24000</v>
      </c>
      <c r="G16" s="4" t="s">
        <v>462</v>
      </c>
      <c r="H16" s="4"/>
      <c r="I16" s="4" t="s">
        <v>461</v>
      </c>
      <c r="J16" s="4" t="s">
        <v>461</v>
      </c>
      <c r="K16" s="4" t="s">
        <v>461</v>
      </c>
      <c r="L16" s="4"/>
      <c r="M16" s="4" t="str">
        <f t="shared" ref="M16:M19" si="2">IF(COUNTA(H16:L16)=5,"만점","")</f>
        <v/>
      </c>
    </row>
    <row r="17" spans="1:13">
      <c r="A17" s="4" t="s">
        <v>1527</v>
      </c>
      <c r="B17" s="13">
        <v>9500</v>
      </c>
      <c r="C17" s="13">
        <v>9000</v>
      </c>
      <c r="D17" s="13">
        <v>9500</v>
      </c>
      <c r="E17" s="13">
        <f t="shared" si="1"/>
        <v>28000</v>
      </c>
      <c r="G17" s="4" t="s">
        <v>463</v>
      </c>
      <c r="H17" s="4"/>
      <c r="I17" s="4" t="s">
        <v>461</v>
      </c>
      <c r="J17" s="4"/>
      <c r="K17" s="4" t="s">
        <v>461</v>
      </c>
      <c r="L17" s="4" t="s">
        <v>461</v>
      </c>
      <c r="M17" s="4" t="str">
        <f t="shared" si="2"/>
        <v/>
      </c>
    </row>
    <row r="18" spans="1:13">
      <c r="A18" s="4" t="s">
        <v>1528</v>
      </c>
      <c r="B18" s="13">
        <v>5500</v>
      </c>
      <c r="C18" s="13">
        <v>6000</v>
      </c>
      <c r="D18" s="13">
        <v>6000</v>
      </c>
      <c r="E18" s="13">
        <f t="shared" si="1"/>
        <v>17500</v>
      </c>
      <c r="G18" s="4" t="s">
        <v>464</v>
      </c>
      <c r="H18" s="4" t="s">
        <v>461</v>
      </c>
      <c r="I18" s="4" t="s">
        <v>461</v>
      </c>
      <c r="J18" s="4" t="s">
        <v>461</v>
      </c>
      <c r="K18" s="4" t="s">
        <v>461</v>
      </c>
      <c r="L18" s="4" t="s">
        <v>461</v>
      </c>
      <c r="M18" s="4" t="str">
        <f t="shared" si="2"/>
        <v>만점</v>
      </c>
    </row>
    <row r="19" spans="1:13">
      <c r="A19" s="4" t="s">
        <v>1529</v>
      </c>
      <c r="B19" s="13">
        <v>5000</v>
      </c>
      <c r="C19" s="13">
        <v>4500</v>
      </c>
      <c r="D19" s="13">
        <v>5500</v>
      </c>
      <c r="E19" s="13">
        <f t="shared" si="1"/>
        <v>15000</v>
      </c>
      <c r="G19" s="4" t="s">
        <v>465</v>
      </c>
      <c r="H19" s="4" t="s">
        <v>461</v>
      </c>
      <c r="I19" s="4"/>
      <c r="J19" s="4" t="s">
        <v>461</v>
      </c>
      <c r="K19" s="4" t="s">
        <v>461</v>
      </c>
      <c r="L19" s="4" t="s">
        <v>461</v>
      </c>
      <c r="M19" s="4" t="str">
        <f t="shared" si="2"/>
        <v/>
      </c>
    </row>
    <row r="20" spans="1:13">
      <c r="A20" s="4" t="s">
        <v>1530</v>
      </c>
      <c r="B20" s="13">
        <v>6000</v>
      </c>
      <c r="C20" s="13">
        <v>7000</v>
      </c>
      <c r="D20" s="13">
        <v>6000</v>
      </c>
      <c r="E20" s="13">
        <f t="shared" si="1"/>
        <v>19000</v>
      </c>
    </row>
    <row r="21" spans="1:13">
      <c r="A21" s="4" t="s">
        <v>1531</v>
      </c>
      <c r="B21" s="13">
        <v>7000</v>
      </c>
      <c r="C21" s="13">
        <v>7000</v>
      </c>
      <c r="D21" s="13">
        <v>7500</v>
      </c>
      <c r="E21" s="13">
        <f t="shared" si="1"/>
        <v>21500</v>
      </c>
    </row>
    <row r="22" spans="1:13">
      <c r="A22" s="4" t="s">
        <v>1532</v>
      </c>
      <c r="B22" s="13">
        <v>7500</v>
      </c>
      <c r="C22" s="13">
        <v>8000</v>
      </c>
      <c r="D22" s="13">
        <v>7000</v>
      </c>
      <c r="E22" s="13">
        <f t="shared" si="1"/>
        <v>22500</v>
      </c>
    </row>
    <row r="23" spans="1:13">
      <c r="A23" s="36" t="s">
        <v>1533</v>
      </c>
      <c r="B23" s="37"/>
      <c r="C23" s="37"/>
      <c r="D23" s="38"/>
      <c r="E23" s="4" t="str">
        <f>INDEX(A15:A22,MATCH(MAX(E15:E22),E15:E22,0),1)</f>
        <v>3공장</v>
      </c>
    </row>
    <row r="25" spans="1:13">
      <c r="A25" s="1" t="s">
        <v>57</v>
      </c>
      <c r="B25" s="8" t="s">
        <v>466</v>
      </c>
      <c r="C25" s="8"/>
      <c r="D25" s="8"/>
      <c r="E25" s="8"/>
      <c r="F25" s="8"/>
    </row>
    <row r="26" spans="1:13">
      <c r="A26" s="4" t="s">
        <v>467</v>
      </c>
      <c r="B26" s="4" t="s">
        <v>122</v>
      </c>
      <c r="C26" s="4" t="s">
        <v>468</v>
      </c>
      <c r="D26" s="4" t="s">
        <v>106</v>
      </c>
      <c r="E26" s="4" t="s">
        <v>109</v>
      </c>
      <c r="F26" s="4" t="s">
        <v>112</v>
      </c>
    </row>
    <row r="27" spans="1:13">
      <c r="A27" s="4">
        <v>3212</v>
      </c>
      <c r="B27" s="4" t="s">
        <v>469</v>
      </c>
      <c r="C27" s="4" t="s">
        <v>470</v>
      </c>
      <c r="D27" s="13">
        <v>35200</v>
      </c>
      <c r="E27" s="13">
        <v>35000</v>
      </c>
      <c r="F27" s="13">
        <v>36000</v>
      </c>
    </row>
    <row r="28" spans="1:13">
      <c r="A28" s="4">
        <v>3214</v>
      </c>
      <c r="B28" s="4" t="s">
        <v>471</v>
      </c>
      <c r="C28" s="4" t="s">
        <v>470</v>
      </c>
      <c r="D28" s="13">
        <v>12500</v>
      </c>
      <c r="E28" s="13">
        <v>21000</v>
      </c>
      <c r="F28" s="13">
        <v>20000</v>
      </c>
    </row>
    <row r="29" spans="1:13">
      <c r="A29" s="4">
        <v>3114</v>
      </c>
      <c r="B29" s="4" t="s">
        <v>472</v>
      </c>
      <c r="C29" s="4" t="s">
        <v>473</v>
      </c>
      <c r="D29" s="13">
        <v>62500</v>
      </c>
      <c r="E29" s="13">
        <v>65000</v>
      </c>
      <c r="F29" s="13">
        <v>64000</v>
      </c>
    </row>
    <row r="30" spans="1:13">
      <c r="A30" s="4">
        <v>3412</v>
      </c>
      <c r="B30" s="4" t="s">
        <v>474</v>
      </c>
      <c r="C30" s="4" t="s">
        <v>475</v>
      </c>
      <c r="D30" s="13">
        <v>62533</v>
      </c>
      <c r="E30" s="13">
        <v>61890</v>
      </c>
      <c r="F30" s="13">
        <v>63000</v>
      </c>
    </row>
    <row r="31" spans="1:13">
      <c r="A31" s="4">
        <v>3312</v>
      </c>
      <c r="B31" s="4" t="s">
        <v>476</v>
      </c>
      <c r="C31" s="4" t="s">
        <v>477</v>
      </c>
      <c r="D31" s="13">
        <v>32560</v>
      </c>
      <c r="E31" s="13">
        <v>33000</v>
      </c>
      <c r="F31" s="13">
        <v>32000</v>
      </c>
    </row>
    <row r="32" spans="1:13">
      <c r="A32" s="4">
        <v>3213</v>
      </c>
      <c r="B32" s="4" t="s">
        <v>388</v>
      </c>
      <c r="C32" s="4" t="s">
        <v>470</v>
      </c>
      <c r="D32" s="13">
        <v>64250</v>
      </c>
      <c r="E32" s="13">
        <v>56000</v>
      </c>
      <c r="F32" s="13">
        <v>66000</v>
      </c>
    </row>
    <row r="33" spans="1:6">
      <c r="A33" s="4">
        <v>3413</v>
      </c>
      <c r="B33" s="4" t="s">
        <v>478</v>
      </c>
      <c r="C33" s="4" t="s">
        <v>475</v>
      </c>
      <c r="D33" s="13">
        <v>45850</v>
      </c>
      <c r="E33" s="13">
        <v>43650</v>
      </c>
      <c r="F33" s="13">
        <v>48000</v>
      </c>
    </row>
    <row r="35" spans="1:6">
      <c r="E35" s="11" t="s">
        <v>120</v>
      </c>
      <c r="F35" s="13">
        <f>ROUNDDOWN(_xlfn.STDEV.S(F27:F33),-1)</f>
        <v>18170</v>
      </c>
    </row>
  </sheetData>
  <mergeCells count="4">
    <mergeCell ref="A23:D23"/>
    <mergeCell ref="L3:M3"/>
    <mergeCell ref="L7:M7"/>
    <mergeCell ref="L8:M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8"/>
  <sheetViews>
    <sheetView topLeftCell="A19" workbookViewId="0">
      <selection activeCell="E35" sqref="E35"/>
    </sheetView>
  </sheetViews>
  <sheetFormatPr defaultRowHeight="17.399999999999999"/>
  <cols>
    <col min="3" max="4" width="9.09765625" bestFit="1" customWidth="1"/>
    <col min="5" max="5" width="10.796875" bestFit="1" customWidth="1"/>
    <col min="7" max="7" width="9" customWidth="1"/>
    <col min="8" max="8" width="10.796875" bestFit="1" customWidth="1"/>
  </cols>
  <sheetData>
    <row r="1" spans="1:9">
      <c r="A1" s="1" t="s">
        <v>0</v>
      </c>
      <c r="B1" s="8" t="s">
        <v>1247</v>
      </c>
      <c r="C1" s="8"/>
      <c r="D1" s="8"/>
      <c r="F1" s="2" t="s">
        <v>1</v>
      </c>
      <c r="G1" s="8" t="s">
        <v>1248</v>
      </c>
      <c r="H1" s="8"/>
      <c r="I1" s="8"/>
    </row>
    <row r="2" spans="1:9">
      <c r="A2" s="4" t="s">
        <v>4</v>
      </c>
      <c r="B2" s="4" t="s">
        <v>1249</v>
      </c>
      <c r="C2" s="4" t="s">
        <v>492</v>
      </c>
      <c r="D2" s="4" t="s">
        <v>324</v>
      </c>
      <c r="F2" s="4" t="s">
        <v>854</v>
      </c>
      <c r="G2" s="4" t="s">
        <v>1250</v>
      </c>
      <c r="H2" s="4" t="s">
        <v>855</v>
      </c>
      <c r="I2" s="11" t="s">
        <v>138</v>
      </c>
    </row>
    <row r="3" spans="1:9">
      <c r="A3" s="4" t="s">
        <v>473</v>
      </c>
      <c r="B3" s="4" t="s">
        <v>373</v>
      </c>
      <c r="C3" s="4">
        <v>645</v>
      </c>
      <c r="D3" s="4" t="s">
        <v>1251</v>
      </c>
      <c r="F3" s="4" t="s">
        <v>1252</v>
      </c>
      <c r="G3" s="4">
        <v>94</v>
      </c>
      <c r="H3" s="13">
        <v>1382000</v>
      </c>
      <c r="I3" s="4" t="str">
        <f>IF(OR(G3&gt;=150,H3&gt;AVERAGE($H$3:$H$12)),"VIP","일반")</f>
        <v>일반</v>
      </c>
    </row>
    <row r="4" spans="1:9">
      <c r="A4" s="4" t="s">
        <v>470</v>
      </c>
      <c r="B4" s="4" t="s">
        <v>373</v>
      </c>
      <c r="C4" s="4">
        <v>574</v>
      </c>
      <c r="D4" s="4" t="s">
        <v>1253</v>
      </c>
      <c r="F4" s="4" t="s">
        <v>1254</v>
      </c>
      <c r="G4" s="4">
        <v>156</v>
      </c>
      <c r="H4" s="13">
        <v>1794000</v>
      </c>
      <c r="I4" s="4" t="str">
        <f t="shared" ref="I4:I12" si="0">IF(OR(G4&gt;=150,H4&gt;AVERAGE($H$3:$H$12)),"VIP","일반")</f>
        <v>VIP</v>
      </c>
    </row>
    <row r="5" spans="1:9">
      <c r="A5" s="4" t="s">
        <v>477</v>
      </c>
      <c r="B5" s="4" t="s">
        <v>373</v>
      </c>
      <c r="C5" s="4">
        <v>429</v>
      </c>
      <c r="D5" s="4" t="s">
        <v>1255</v>
      </c>
      <c r="F5" s="4" t="s">
        <v>1256</v>
      </c>
      <c r="G5" s="4">
        <v>83</v>
      </c>
      <c r="H5" s="13">
        <v>1652000</v>
      </c>
      <c r="I5" s="4" t="str">
        <f t="shared" si="0"/>
        <v>일반</v>
      </c>
    </row>
    <row r="6" spans="1:9">
      <c r="A6" s="4" t="s">
        <v>473</v>
      </c>
      <c r="B6" s="4" t="s">
        <v>379</v>
      </c>
      <c r="C6" s="4">
        <v>721</v>
      </c>
      <c r="D6" s="4" t="s">
        <v>902</v>
      </c>
      <c r="F6" s="4" t="s">
        <v>1257</v>
      </c>
      <c r="G6" s="4">
        <v>248</v>
      </c>
      <c r="H6" s="13">
        <v>4950000</v>
      </c>
      <c r="I6" s="4" t="str">
        <f t="shared" si="0"/>
        <v>VIP</v>
      </c>
    </row>
    <row r="7" spans="1:9">
      <c r="A7" s="4" t="s">
        <v>470</v>
      </c>
      <c r="B7" s="4" t="s">
        <v>379</v>
      </c>
      <c r="C7" s="4">
        <v>827</v>
      </c>
      <c r="D7" s="4" t="s">
        <v>1258</v>
      </c>
      <c r="F7" s="4" t="s">
        <v>1259</v>
      </c>
      <c r="G7" s="4">
        <v>77</v>
      </c>
      <c r="H7" s="13">
        <v>1223000</v>
      </c>
      <c r="I7" s="4" t="str">
        <f t="shared" si="0"/>
        <v>일반</v>
      </c>
    </row>
    <row r="8" spans="1:9">
      <c r="A8" s="4" t="s">
        <v>477</v>
      </c>
      <c r="B8" s="4" t="s">
        <v>379</v>
      </c>
      <c r="C8" s="4">
        <v>704</v>
      </c>
      <c r="D8" s="4" t="s">
        <v>1260</v>
      </c>
      <c r="F8" s="4" t="s">
        <v>1261</v>
      </c>
      <c r="G8" s="4">
        <v>64</v>
      </c>
      <c r="H8" s="13">
        <v>978000</v>
      </c>
      <c r="I8" s="4" t="str">
        <f t="shared" si="0"/>
        <v>일반</v>
      </c>
    </row>
    <row r="9" spans="1:9">
      <c r="A9" s="4" t="s">
        <v>473</v>
      </c>
      <c r="B9" s="4" t="s">
        <v>371</v>
      </c>
      <c r="C9" s="4">
        <v>628</v>
      </c>
      <c r="D9" s="4" t="s">
        <v>1262</v>
      </c>
      <c r="F9" s="4" t="s">
        <v>1263</v>
      </c>
      <c r="G9" s="4">
        <v>85</v>
      </c>
      <c r="H9" s="13">
        <v>2460000</v>
      </c>
      <c r="I9" s="4" t="str">
        <f t="shared" si="0"/>
        <v>VIP</v>
      </c>
    </row>
    <row r="10" spans="1:9">
      <c r="A10" s="4" t="s">
        <v>470</v>
      </c>
      <c r="B10" s="4" t="s">
        <v>371</v>
      </c>
      <c r="C10" s="4">
        <v>699</v>
      </c>
      <c r="D10" s="4" t="s">
        <v>1264</v>
      </c>
      <c r="F10" s="4" t="s">
        <v>1265</v>
      </c>
      <c r="G10" s="4">
        <v>173</v>
      </c>
      <c r="H10" s="13">
        <v>2961000</v>
      </c>
      <c r="I10" s="4" t="str">
        <f t="shared" si="0"/>
        <v>VIP</v>
      </c>
    </row>
    <row r="11" spans="1:9">
      <c r="A11" s="4" t="s">
        <v>477</v>
      </c>
      <c r="B11" s="4" t="s">
        <v>371</v>
      </c>
      <c r="C11" s="4">
        <v>763</v>
      </c>
      <c r="D11" s="4" t="s">
        <v>1266</v>
      </c>
      <c r="F11" s="4" t="s">
        <v>1267</v>
      </c>
      <c r="G11" s="4">
        <v>59</v>
      </c>
      <c r="H11" s="13">
        <v>889000</v>
      </c>
      <c r="I11" s="4" t="str">
        <f t="shared" si="0"/>
        <v>일반</v>
      </c>
    </row>
    <row r="12" spans="1:9">
      <c r="A12" s="36" t="s">
        <v>1268</v>
      </c>
      <c r="B12" s="37"/>
      <c r="C12" s="38"/>
      <c r="D12" s="4" t="str">
        <f>VLOOKUP(DMAX(A2:D11,3,A2:A3),C2:D11,2,FALSE)</f>
        <v>이상희</v>
      </c>
      <c r="F12" s="4" t="s">
        <v>1269</v>
      </c>
      <c r="G12" s="4">
        <v>67</v>
      </c>
      <c r="H12" s="13">
        <v>1067000</v>
      </c>
      <c r="I12" s="4" t="str">
        <f t="shared" si="0"/>
        <v>일반</v>
      </c>
    </row>
    <row r="14" spans="1:9">
      <c r="A14" s="2" t="s">
        <v>1270</v>
      </c>
      <c r="B14" s="8" t="s">
        <v>1271</v>
      </c>
      <c r="C14" s="8"/>
      <c r="D14" s="8"/>
      <c r="F14" s="2" t="s">
        <v>98</v>
      </c>
      <c r="G14" s="8" t="s">
        <v>1272</v>
      </c>
      <c r="H14" s="8"/>
    </row>
    <row r="15" spans="1:9">
      <c r="A15" s="4" t="s">
        <v>402</v>
      </c>
      <c r="B15" s="4" t="s">
        <v>370</v>
      </c>
      <c r="C15" s="4" t="s">
        <v>496</v>
      </c>
      <c r="D15" s="4" t="s">
        <v>459</v>
      </c>
      <c r="F15" s="4" t="s">
        <v>485</v>
      </c>
      <c r="G15" s="4" t="s">
        <v>1273</v>
      </c>
      <c r="H15" s="11" t="s">
        <v>1274</v>
      </c>
    </row>
    <row r="16" spans="1:9">
      <c r="A16" s="4">
        <v>211016</v>
      </c>
      <c r="B16" s="4" t="s">
        <v>1275</v>
      </c>
      <c r="C16" s="4" t="s">
        <v>1276</v>
      </c>
      <c r="D16" s="4">
        <v>86</v>
      </c>
      <c r="F16" s="4" t="s">
        <v>1277</v>
      </c>
      <c r="G16" s="4">
        <v>91</v>
      </c>
      <c r="H16" s="4" t="str">
        <f>IF(_xlfn.RANK.EQ(G16,$G$16:$G$24)&lt;=3,CHOOSE(_xlfn.RANK.EQ(G16,$G$16:$G$24),"금메달","은메달","동메달"),"")</f>
        <v/>
      </c>
    </row>
    <row r="17" spans="1:8">
      <c r="A17" s="4">
        <v>215007</v>
      </c>
      <c r="B17" s="4" t="s">
        <v>1278</v>
      </c>
      <c r="C17" s="4" t="s">
        <v>1279</v>
      </c>
      <c r="D17" s="4">
        <v>94</v>
      </c>
      <c r="F17" s="4" t="s">
        <v>1280</v>
      </c>
      <c r="G17" s="4">
        <v>95</v>
      </c>
      <c r="H17" s="4" t="str">
        <f t="shared" ref="H17:H24" si="1">IF(_xlfn.RANK.EQ(G17,$G$16:$G$24)&lt;=3,CHOOSE(_xlfn.RANK.EQ(G17,$G$16:$G$24),"금메달","은메달","동메달"),"")</f>
        <v>은메달</v>
      </c>
    </row>
    <row r="18" spans="1:8">
      <c r="A18" s="4">
        <v>215015</v>
      </c>
      <c r="B18" s="4" t="s">
        <v>1278</v>
      </c>
      <c r="C18" s="4" t="s">
        <v>1281</v>
      </c>
      <c r="D18" s="4">
        <v>75</v>
      </c>
      <c r="F18" s="4" t="s">
        <v>1282</v>
      </c>
      <c r="G18" s="4">
        <v>86</v>
      </c>
      <c r="H18" s="4" t="str">
        <f t="shared" si="1"/>
        <v/>
      </c>
    </row>
    <row r="19" spans="1:8">
      <c r="A19" s="4">
        <v>211025</v>
      </c>
      <c r="B19" s="4" t="s">
        <v>1275</v>
      </c>
      <c r="C19" s="4" t="s">
        <v>1283</v>
      </c>
      <c r="D19" s="4">
        <v>81</v>
      </c>
      <c r="F19" s="4" t="s">
        <v>1284</v>
      </c>
      <c r="G19" s="4">
        <v>86</v>
      </c>
      <c r="H19" s="4" t="str">
        <f t="shared" si="1"/>
        <v/>
      </c>
    </row>
    <row r="20" spans="1:8">
      <c r="A20" s="4">
        <v>211031</v>
      </c>
      <c r="B20" s="4" t="s">
        <v>1275</v>
      </c>
      <c r="C20" s="4" t="s">
        <v>1285</v>
      </c>
      <c r="D20" s="4">
        <v>96</v>
      </c>
      <c r="F20" s="4" t="s">
        <v>1286</v>
      </c>
      <c r="G20" s="4">
        <v>98</v>
      </c>
      <c r="H20" s="4" t="str">
        <f t="shared" si="1"/>
        <v>금메달</v>
      </c>
    </row>
    <row r="21" spans="1:8">
      <c r="A21" s="4">
        <v>215064</v>
      </c>
      <c r="B21" s="4" t="s">
        <v>1278</v>
      </c>
      <c r="C21" s="4" t="s">
        <v>1287</v>
      </c>
      <c r="D21" s="4">
        <v>88</v>
      </c>
      <c r="F21" s="4" t="s">
        <v>1288</v>
      </c>
      <c r="G21" s="4">
        <v>90</v>
      </c>
      <c r="H21" s="4" t="str">
        <f t="shared" si="1"/>
        <v/>
      </c>
    </row>
    <row r="22" spans="1:8">
      <c r="A22" s="4">
        <v>211046</v>
      </c>
      <c r="B22" s="4" t="s">
        <v>1275</v>
      </c>
      <c r="C22" s="4" t="s">
        <v>1289</v>
      </c>
      <c r="D22" s="4">
        <v>79</v>
      </c>
      <c r="F22" s="4" t="s">
        <v>1290</v>
      </c>
      <c r="G22" s="4">
        <v>86</v>
      </c>
      <c r="H22" s="4" t="str">
        <f t="shared" si="1"/>
        <v/>
      </c>
    </row>
    <row r="23" spans="1:8">
      <c r="A23" s="4">
        <v>215089</v>
      </c>
      <c r="B23" s="4" t="s">
        <v>1278</v>
      </c>
      <c r="C23" s="4" t="s">
        <v>1291</v>
      </c>
      <c r="D23" s="4">
        <v>67</v>
      </c>
      <c r="F23" s="4" t="s">
        <v>1292</v>
      </c>
      <c r="G23" s="4">
        <v>94</v>
      </c>
      <c r="H23" s="4" t="str">
        <f t="shared" si="1"/>
        <v>동메달</v>
      </c>
    </row>
    <row r="24" spans="1:8">
      <c r="A24" s="36" t="s">
        <v>1293</v>
      </c>
      <c r="B24" s="37"/>
      <c r="C24" s="38"/>
      <c r="D24" s="4">
        <f>ABS(SUMIF(B16:B23,"컴퓨터",D16:D23)-SUMIF(B16:B23,"정보처리",D16:D23))</f>
        <v>18</v>
      </c>
      <c r="F24" s="4" t="s">
        <v>1294</v>
      </c>
      <c r="G24" s="4">
        <v>88</v>
      </c>
      <c r="H24" s="4" t="str">
        <f t="shared" si="1"/>
        <v/>
      </c>
    </row>
    <row r="26" spans="1:8">
      <c r="A26" s="2" t="s">
        <v>1295</v>
      </c>
      <c r="B26" s="8" t="s">
        <v>1296</v>
      </c>
      <c r="C26" s="8"/>
      <c r="D26" s="8"/>
      <c r="E26" s="8"/>
    </row>
    <row r="27" spans="1:8">
      <c r="A27" s="4" t="s">
        <v>1297</v>
      </c>
      <c r="B27" s="4" t="s">
        <v>1298</v>
      </c>
      <c r="C27" s="4" t="s">
        <v>437</v>
      </c>
      <c r="D27" s="4" t="s">
        <v>32</v>
      </c>
      <c r="E27" s="4" t="s">
        <v>1299</v>
      </c>
    </row>
    <row r="28" spans="1:8">
      <c r="A28" s="4" t="s">
        <v>1300</v>
      </c>
      <c r="B28" s="4" t="s">
        <v>1301</v>
      </c>
      <c r="C28" s="13">
        <v>3900</v>
      </c>
      <c r="D28" s="13">
        <v>116</v>
      </c>
      <c r="E28" s="13">
        <v>452400</v>
      </c>
    </row>
    <row r="29" spans="1:8">
      <c r="A29" s="4" t="s">
        <v>1302</v>
      </c>
      <c r="B29" s="4" t="s">
        <v>1303</v>
      </c>
      <c r="C29" s="13">
        <v>4600</v>
      </c>
      <c r="D29" s="13">
        <v>128</v>
      </c>
      <c r="E29" s="13">
        <v>588800</v>
      </c>
    </row>
    <row r="30" spans="1:8">
      <c r="A30" s="4" t="s">
        <v>1302</v>
      </c>
      <c r="B30" s="4" t="s">
        <v>1304</v>
      </c>
      <c r="C30" s="13">
        <v>9800</v>
      </c>
      <c r="D30" s="13">
        <v>88</v>
      </c>
      <c r="E30" s="13">
        <v>862400</v>
      </c>
    </row>
    <row r="31" spans="1:8">
      <c r="A31" s="4" t="s">
        <v>1305</v>
      </c>
      <c r="B31" s="4" t="s">
        <v>1306</v>
      </c>
      <c r="C31" s="13">
        <v>6700</v>
      </c>
      <c r="D31" s="13">
        <v>123</v>
      </c>
      <c r="E31" s="13">
        <v>824100</v>
      </c>
    </row>
    <row r="32" spans="1:8">
      <c r="A32" s="4" t="s">
        <v>1302</v>
      </c>
      <c r="B32" s="4" t="s">
        <v>1307</v>
      </c>
      <c r="C32" s="13">
        <v>8800</v>
      </c>
      <c r="D32" s="13">
        <v>94</v>
      </c>
      <c r="E32" s="13">
        <v>827200</v>
      </c>
    </row>
    <row r="33" spans="1:8">
      <c r="A33" s="4" t="s">
        <v>1305</v>
      </c>
      <c r="B33" s="4" t="s">
        <v>1308</v>
      </c>
      <c r="C33" s="13">
        <v>9500</v>
      </c>
      <c r="D33" s="13">
        <v>157</v>
      </c>
      <c r="E33" s="13">
        <v>1491500</v>
      </c>
      <c r="F33" s="19" t="s">
        <v>1309</v>
      </c>
    </row>
    <row r="34" spans="1:8">
      <c r="A34" s="4" t="s">
        <v>1300</v>
      </c>
      <c r="B34" s="4" t="s">
        <v>1310</v>
      </c>
      <c r="C34" s="13">
        <v>4500</v>
      </c>
      <c r="D34" s="13">
        <v>167</v>
      </c>
      <c r="E34" s="13">
        <v>751500</v>
      </c>
      <c r="F34" s="4" t="s">
        <v>1721</v>
      </c>
    </row>
    <row r="35" spans="1:8">
      <c r="A35" s="36" t="s">
        <v>1311</v>
      </c>
      <c r="B35" s="37"/>
      <c r="C35" s="37"/>
      <c r="D35" s="38"/>
      <c r="E35" s="13">
        <f>ROUNDUP(DSUM(A27:E34,5,F34:F35),-3)</f>
        <v>2279000</v>
      </c>
      <c r="F35" s="4" t="s">
        <v>1722</v>
      </c>
    </row>
    <row r="38" spans="1:8">
      <c r="H38" s="26"/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4"/>
  <sheetViews>
    <sheetView topLeftCell="A19" workbookViewId="0">
      <selection activeCell="D35" sqref="D35"/>
    </sheetView>
  </sheetViews>
  <sheetFormatPr defaultRowHeight="17.399999999999999"/>
  <cols>
    <col min="1" max="3" width="9" customWidth="1"/>
    <col min="4" max="4" width="10.09765625" bestFit="1" customWidth="1"/>
    <col min="5" max="6" width="9" customWidth="1"/>
    <col min="8" max="9" width="9" customWidth="1"/>
    <col min="10" max="10" width="9.09765625" bestFit="1" customWidth="1"/>
    <col min="14" max="14" width="9.796875" bestFit="1" customWidth="1"/>
  </cols>
  <sheetData>
    <row r="1" spans="1:10">
      <c r="A1" s="1" t="s">
        <v>1312</v>
      </c>
      <c r="B1" s="15" t="s">
        <v>1313</v>
      </c>
      <c r="F1" s="2" t="s">
        <v>1314</v>
      </c>
      <c r="G1" s="15" t="s">
        <v>1315</v>
      </c>
    </row>
    <row r="2" spans="1:10">
      <c r="A2" s="4" t="s">
        <v>1316</v>
      </c>
      <c r="B2" s="4" t="s">
        <v>1317</v>
      </c>
      <c r="C2" s="4" t="s">
        <v>1318</v>
      </c>
      <c r="D2" s="4" t="s">
        <v>1319</v>
      </c>
      <c r="F2" s="4" t="s">
        <v>1320</v>
      </c>
      <c r="G2" s="4" t="s">
        <v>1321</v>
      </c>
      <c r="H2" s="4" t="s">
        <v>1322</v>
      </c>
      <c r="I2" s="4" t="s">
        <v>1323</v>
      </c>
      <c r="J2" s="4" t="s">
        <v>1324</v>
      </c>
    </row>
    <row r="3" spans="1:10">
      <c r="A3" s="4" t="s">
        <v>1325</v>
      </c>
      <c r="B3" s="4" t="s">
        <v>1326</v>
      </c>
      <c r="C3" s="4" t="s">
        <v>1327</v>
      </c>
      <c r="D3" s="4">
        <v>86</v>
      </c>
      <c r="F3" s="4" t="s">
        <v>1328</v>
      </c>
      <c r="G3" s="4" t="s">
        <v>1330</v>
      </c>
      <c r="H3" s="13">
        <v>63545</v>
      </c>
      <c r="I3" s="13">
        <v>70535</v>
      </c>
      <c r="J3" s="13">
        <f>SUM(H3:I3)</f>
        <v>134080</v>
      </c>
    </row>
    <row r="4" spans="1:10">
      <c r="A4" s="4" t="s">
        <v>1331</v>
      </c>
      <c r="B4" s="4" t="s">
        <v>1332</v>
      </c>
      <c r="C4" s="4" t="s">
        <v>711</v>
      </c>
      <c r="D4" s="4">
        <v>91</v>
      </c>
      <c r="F4" s="4" t="s">
        <v>1333</v>
      </c>
      <c r="G4" s="4" t="s">
        <v>1334</v>
      </c>
      <c r="H4" s="13">
        <v>41981</v>
      </c>
      <c r="I4" s="13">
        <v>40396</v>
      </c>
      <c r="J4" s="13">
        <f t="shared" ref="J4:J10" si="0">SUM(H4:I4)</f>
        <v>82377</v>
      </c>
    </row>
    <row r="5" spans="1:10">
      <c r="A5" s="4" t="s">
        <v>1335</v>
      </c>
      <c r="B5" s="4" t="s">
        <v>1336</v>
      </c>
      <c r="C5" s="4" t="s">
        <v>1337</v>
      </c>
      <c r="D5" s="4">
        <v>75</v>
      </c>
      <c r="F5" s="4" t="s">
        <v>1338</v>
      </c>
      <c r="G5" s="4" t="s">
        <v>1339</v>
      </c>
      <c r="H5" s="13">
        <v>38517</v>
      </c>
      <c r="I5" s="13">
        <v>36206</v>
      </c>
      <c r="J5" s="13">
        <f t="shared" si="0"/>
        <v>74723</v>
      </c>
    </row>
    <row r="6" spans="1:10">
      <c r="A6" s="4" t="s">
        <v>1340</v>
      </c>
      <c r="B6" s="4" t="s">
        <v>1341</v>
      </c>
      <c r="C6" s="4" t="s">
        <v>1342</v>
      </c>
      <c r="D6" s="4">
        <v>69</v>
      </c>
      <c r="F6" s="4" t="s">
        <v>1343</v>
      </c>
      <c r="G6" s="4" t="s">
        <v>1329</v>
      </c>
      <c r="H6" s="13">
        <v>57134</v>
      </c>
      <c r="I6" s="13">
        <v>53706</v>
      </c>
      <c r="J6" s="13">
        <f t="shared" si="0"/>
        <v>110840</v>
      </c>
    </row>
    <row r="7" spans="1:10">
      <c r="A7" s="4" t="s">
        <v>1344</v>
      </c>
      <c r="B7" s="4" t="s">
        <v>1345</v>
      </c>
      <c r="C7" s="4" t="s">
        <v>712</v>
      </c>
      <c r="D7" s="4">
        <v>95</v>
      </c>
      <c r="F7" s="4" t="s">
        <v>1346</v>
      </c>
      <c r="G7" s="4" t="s">
        <v>1334</v>
      </c>
      <c r="H7" s="13">
        <v>67012</v>
      </c>
      <c r="I7" s="13">
        <v>74383</v>
      </c>
      <c r="J7" s="13">
        <f t="shared" si="0"/>
        <v>141395</v>
      </c>
    </row>
    <row r="8" spans="1:10">
      <c r="A8" s="4" t="s">
        <v>1347</v>
      </c>
      <c r="B8" s="4" t="s">
        <v>1348</v>
      </c>
      <c r="C8" s="4" t="s">
        <v>687</v>
      </c>
      <c r="D8" s="4">
        <v>82</v>
      </c>
      <c r="F8" s="4" t="s">
        <v>1349</v>
      </c>
      <c r="G8" s="4" t="s">
        <v>1339</v>
      </c>
      <c r="H8" s="13">
        <v>50679</v>
      </c>
      <c r="I8" s="13">
        <v>47638</v>
      </c>
      <c r="J8" s="13">
        <f t="shared" si="0"/>
        <v>98317</v>
      </c>
    </row>
    <row r="9" spans="1:10">
      <c r="A9" s="4" t="s">
        <v>1350</v>
      </c>
      <c r="B9" s="4" t="s">
        <v>1351</v>
      </c>
      <c r="C9" s="4" t="s">
        <v>1352</v>
      </c>
      <c r="D9" s="4">
        <v>79</v>
      </c>
      <c r="F9" s="4" t="s">
        <v>1353</v>
      </c>
      <c r="G9" s="4" t="s">
        <v>1329</v>
      </c>
      <c r="H9" s="13">
        <v>49660</v>
      </c>
      <c r="I9" s="13">
        <v>53170</v>
      </c>
      <c r="J9" s="13">
        <f t="shared" si="0"/>
        <v>102830</v>
      </c>
    </row>
    <row r="10" spans="1:10">
      <c r="A10" s="36" t="s">
        <v>1354</v>
      </c>
      <c r="B10" s="37"/>
      <c r="C10" s="38"/>
      <c r="D10" s="4" t="str">
        <f>COUNTIF(C3:C9,"서울")&amp;"명"</f>
        <v>2명</v>
      </c>
      <c r="F10" s="4" t="s">
        <v>1355</v>
      </c>
      <c r="G10" s="4" t="s">
        <v>1334</v>
      </c>
      <c r="H10" s="13">
        <v>62248</v>
      </c>
      <c r="I10" s="13">
        <v>69095</v>
      </c>
      <c r="J10" s="13">
        <f t="shared" si="0"/>
        <v>131343</v>
      </c>
    </row>
    <row r="12" spans="1:10">
      <c r="A12" s="2" t="s">
        <v>1356</v>
      </c>
      <c r="B12" s="15" t="s">
        <v>1357</v>
      </c>
      <c r="D12" s="25" t="s">
        <v>1358</v>
      </c>
      <c r="G12" s="4" t="s">
        <v>1321</v>
      </c>
      <c r="H12" s="42" t="s">
        <v>1359</v>
      </c>
      <c r="I12" s="42"/>
      <c r="J12" s="42"/>
    </row>
    <row r="13" spans="1:10">
      <c r="A13" s="4" t="s">
        <v>1360</v>
      </c>
      <c r="B13" s="4" t="s">
        <v>1361</v>
      </c>
      <c r="C13" s="4" t="s">
        <v>1362</v>
      </c>
      <c r="D13" s="11" t="s">
        <v>1363</v>
      </c>
      <c r="G13" s="4" t="s">
        <v>1334</v>
      </c>
      <c r="H13" s="46">
        <f>DMAX(F2:J10,5,G12:G13)-DMIN(F2:J10,5,G12:G13)</f>
        <v>59018</v>
      </c>
      <c r="I13" s="46"/>
      <c r="J13" s="46"/>
    </row>
    <row r="14" spans="1:10">
      <c r="A14" s="4" t="s">
        <v>1365</v>
      </c>
      <c r="B14" s="4" t="s">
        <v>1366</v>
      </c>
      <c r="C14" s="13">
        <v>3500</v>
      </c>
      <c r="D14" s="5">
        <f>ROUNDUP(C14*VLOOKUP(A14,$A$22:$B$26,2,FALSE),0)</f>
        <v>88</v>
      </c>
    </row>
    <row r="15" spans="1:10">
      <c r="A15" s="4" t="s">
        <v>1367</v>
      </c>
      <c r="B15" s="4" t="s">
        <v>1368</v>
      </c>
      <c r="C15" s="13">
        <v>18150</v>
      </c>
      <c r="D15" s="5">
        <f t="shared" ref="D15:D18" si="1">ROUNDUP(C15*VLOOKUP(A15,$A$22:$B$26,2,FALSE),0)</f>
        <v>545</v>
      </c>
    </row>
    <row r="16" spans="1:10">
      <c r="A16" s="4" t="s">
        <v>1369</v>
      </c>
      <c r="B16" s="4" t="s">
        <v>1370</v>
      </c>
      <c r="C16" s="13">
        <v>475</v>
      </c>
      <c r="D16" s="5">
        <f t="shared" si="1"/>
        <v>8</v>
      </c>
    </row>
    <row r="17" spans="1:9">
      <c r="A17" s="4" t="s">
        <v>1371</v>
      </c>
      <c r="B17" s="4" t="s">
        <v>1372</v>
      </c>
      <c r="C17" s="13">
        <v>6834</v>
      </c>
      <c r="D17" s="5">
        <f t="shared" si="1"/>
        <v>154</v>
      </c>
      <c r="F17" s="2" t="s">
        <v>484</v>
      </c>
      <c r="G17" s="15" t="s">
        <v>1373</v>
      </c>
      <c r="I17" s="25"/>
    </row>
    <row r="18" spans="1:9">
      <c r="A18" s="4" t="s">
        <v>1374</v>
      </c>
      <c r="B18" s="4" t="s">
        <v>1375</v>
      </c>
      <c r="C18" s="13">
        <v>1622</v>
      </c>
      <c r="D18" s="5">
        <f t="shared" si="1"/>
        <v>21</v>
      </c>
      <c r="F18" s="4" t="s">
        <v>1376</v>
      </c>
      <c r="G18" s="4" t="s">
        <v>1377</v>
      </c>
      <c r="H18" s="4" t="s">
        <v>1233</v>
      </c>
      <c r="I18" s="11" t="s">
        <v>1378</v>
      </c>
    </row>
    <row r="19" spans="1:9">
      <c r="F19" s="4">
        <v>324001</v>
      </c>
      <c r="G19" s="4" t="s">
        <v>1379</v>
      </c>
      <c r="H19" s="6">
        <v>215</v>
      </c>
      <c r="I19" s="6" t="str">
        <f>IF(_xlfn.RANK.EQ(H19,$H$19:$H$26)=1,"1등",IF(_xlfn.RANK.EQ(H19,$H$19:$H$26)=2,"2등",IF(_xlfn.RANK.EQ(H19,$H$19:$H$26)=3,"3등","")))</f>
        <v/>
      </c>
    </row>
    <row r="20" spans="1:9">
      <c r="A20" s="44" t="s">
        <v>1380</v>
      </c>
      <c r="B20" s="44"/>
      <c r="F20" s="4">
        <v>324002</v>
      </c>
      <c r="G20" s="4" t="s">
        <v>1381</v>
      </c>
      <c r="H20" s="6">
        <v>220</v>
      </c>
      <c r="I20" s="6" t="str">
        <f t="shared" ref="I20:I26" si="2">IF(_xlfn.RANK.EQ(H20,$H$19:$H$26)=1,"1등",IF(_xlfn.RANK.EQ(H20,$H$19:$H$26)=2,"2등",IF(_xlfn.RANK.EQ(H20,$H$19:$H$26)=3,"3등","")))</f>
        <v>3등</v>
      </c>
    </row>
    <row r="21" spans="1:9">
      <c r="A21" s="4" t="s">
        <v>1382</v>
      </c>
      <c r="B21" s="4" t="s">
        <v>1383</v>
      </c>
      <c r="F21" s="4">
        <v>324003</v>
      </c>
      <c r="G21" s="4" t="s">
        <v>1384</v>
      </c>
      <c r="H21" s="6">
        <v>214</v>
      </c>
      <c r="I21" s="6" t="str">
        <f t="shared" si="2"/>
        <v/>
      </c>
    </row>
    <row r="22" spans="1:9">
      <c r="A22" s="4" t="s">
        <v>1369</v>
      </c>
      <c r="B22" s="27">
        <v>1.4999999999999999E-2</v>
      </c>
      <c r="F22" s="4">
        <v>324004</v>
      </c>
      <c r="G22" s="4" t="s">
        <v>1385</v>
      </c>
      <c r="H22" s="6">
        <v>225</v>
      </c>
      <c r="I22" s="6" t="str">
        <f t="shared" si="2"/>
        <v>1등</v>
      </c>
    </row>
    <row r="23" spans="1:9">
      <c r="A23" s="4" t="s">
        <v>1364</v>
      </c>
      <c r="B23" s="27">
        <v>2.5000000000000001E-2</v>
      </c>
      <c r="E23" s="28"/>
      <c r="F23" s="4">
        <v>324005</v>
      </c>
      <c r="G23" s="4" t="s">
        <v>1386</v>
      </c>
      <c r="H23" s="6">
        <v>210</v>
      </c>
      <c r="I23" s="6" t="str">
        <f t="shared" si="2"/>
        <v/>
      </c>
    </row>
    <row r="24" spans="1:9">
      <c r="A24" s="4" t="s">
        <v>1367</v>
      </c>
      <c r="B24" s="29">
        <v>0.03</v>
      </c>
      <c r="E24" s="30"/>
      <c r="F24" s="4">
        <v>324006</v>
      </c>
      <c r="G24" s="4" t="s">
        <v>1387</v>
      </c>
      <c r="H24" s="6">
        <v>218</v>
      </c>
      <c r="I24" s="6" t="str">
        <f t="shared" si="2"/>
        <v/>
      </c>
    </row>
    <row r="25" spans="1:9">
      <c r="A25" s="4" t="s">
        <v>1388</v>
      </c>
      <c r="B25" s="27">
        <v>1.2500000000000001E-2</v>
      </c>
      <c r="E25" s="28"/>
      <c r="F25" s="4">
        <v>324007</v>
      </c>
      <c r="G25" s="4" t="s">
        <v>1389</v>
      </c>
      <c r="H25" s="6">
        <v>224</v>
      </c>
      <c r="I25" s="6" t="str">
        <f t="shared" si="2"/>
        <v>2등</v>
      </c>
    </row>
    <row r="26" spans="1:9">
      <c r="A26" s="4" t="s">
        <v>1390</v>
      </c>
      <c r="B26" s="27">
        <v>2.2499999999999999E-2</v>
      </c>
      <c r="F26" s="4">
        <v>324008</v>
      </c>
      <c r="G26" s="4" t="s">
        <v>1391</v>
      </c>
      <c r="H26" s="6">
        <v>217</v>
      </c>
      <c r="I26" s="6" t="str">
        <f t="shared" si="2"/>
        <v/>
      </c>
    </row>
    <row r="28" spans="1:9">
      <c r="A28" s="2" t="s">
        <v>1392</v>
      </c>
      <c r="B28" s="15" t="s">
        <v>1393</v>
      </c>
    </row>
    <row r="29" spans="1:9">
      <c r="A29" s="4" t="s">
        <v>1394</v>
      </c>
      <c r="B29" s="4" t="s">
        <v>1395</v>
      </c>
    </row>
    <row r="30" spans="1:9">
      <c r="A30" s="4" t="s">
        <v>1396</v>
      </c>
      <c r="B30" s="31">
        <v>1213.9100000000001</v>
      </c>
    </row>
    <row r="31" spans="1:9">
      <c r="A31" s="4" t="s">
        <v>1397</v>
      </c>
      <c r="B31" s="31">
        <v>915.52</v>
      </c>
    </row>
    <row r="32" spans="1:9">
      <c r="A32" s="4" t="s">
        <v>1398</v>
      </c>
      <c r="B32" s="31">
        <v>1591.79</v>
      </c>
    </row>
    <row r="33" spans="1:4">
      <c r="A33" s="4" t="s">
        <v>1399</v>
      </c>
      <c r="B33" s="31">
        <v>990.44</v>
      </c>
      <c r="D33" s="11" t="s">
        <v>1400</v>
      </c>
    </row>
    <row r="34" spans="1:4">
      <c r="A34" s="4" t="s">
        <v>1401</v>
      </c>
      <c r="B34" s="31">
        <v>190.58</v>
      </c>
      <c r="C34" s="11" t="s">
        <v>1402</v>
      </c>
      <c r="D34" s="4">
        <f>TRUNC(INDEX(A30:B34,MATCH(C34,A30:A34,0),2))</f>
        <v>915</v>
      </c>
    </row>
  </sheetData>
  <mergeCells count="4">
    <mergeCell ref="A10:C10"/>
    <mergeCell ref="H12:J12"/>
    <mergeCell ref="H13:J13"/>
    <mergeCell ref="A20:B2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9"/>
  <sheetViews>
    <sheetView topLeftCell="A25" workbookViewId="0">
      <selection activeCell="E39" sqref="E39"/>
    </sheetView>
  </sheetViews>
  <sheetFormatPr defaultRowHeight="17.399999999999999"/>
  <cols>
    <col min="4" max="4" width="12.296875" bestFit="1" customWidth="1"/>
    <col min="5" max="5" width="11.69921875" bestFit="1" customWidth="1"/>
    <col min="7" max="8" width="10.69921875" bestFit="1" customWidth="1"/>
  </cols>
  <sheetData>
    <row r="1" spans="1:10">
      <c r="A1" s="1" t="s">
        <v>1573</v>
      </c>
      <c r="B1" s="15" t="s">
        <v>1403</v>
      </c>
      <c r="F1" s="2" t="s">
        <v>1404</v>
      </c>
      <c r="G1" s="15" t="s">
        <v>1405</v>
      </c>
    </row>
    <row r="2" spans="1:10">
      <c r="A2" s="4" t="s">
        <v>1406</v>
      </c>
      <c r="B2" s="4" t="s">
        <v>1407</v>
      </c>
      <c r="C2" s="4" t="s">
        <v>1408</v>
      </c>
      <c r="D2" s="11" t="s">
        <v>1409</v>
      </c>
      <c r="G2" s="25"/>
      <c r="H2" s="32">
        <v>44656</v>
      </c>
    </row>
    <row r="3" spans="1:10">
      <c r="A3" s="4">
        <v>10001</v>
      </c>
      <c r="B3" s="4" t="s">
        <v>1410</v>
      </c>
      <c r="C3" s="33">
        <v>5.9189814814814813E-2</v>
      </c>
      <c r="D3" s="4">
        <f>IFERROR(_xlfn.RANK.EQ(C3,$C$3:$C$9,1),"실격")</f>
        <v>2</v>
      </c>
      <c r="F3" s="4" t="s">
        <v>1411</v>
      </c>
      <c r="G3" s="4" t="s">
        <v>1412</v>
      </c>
      <c r="H3" s="11" t="s">
        <v>1413</v>
      </c>
    </row>
    <row r="4" spans="1:10">
      <c r="A4" s="4">
        <v>10002</v>
      </c>
      <c r="B4" s="4" t="s">
        <v>1414</v>
      </c>
      <c r="C4" s="33">
        <v>6.8136574074074072E-2</v>
      </c>
      <c r="D4" s="4">
        <f t="shared" ref="D4:D9" si="0">IFERROR(_xlfn.RANK.EQ(C4,$C$3:$C$9,1),"실격")</f>
        <v>5</v>
      </c>
      <c r="F4" s="4" t="s">
        <v>1415</v>
      </c>
      <c r="G4" s="7">
        <v>43167</v>
      </c>
      <c r="H4" s="4" t="str">
        <f>IF(YEAR($H$2)-YEAR(G4)&gt;=10,"★",IF(YEAR($H$2)-YEAR(G4)&gt;=5,"☆",""))</f>
        <v/>
      </c>
    </row>
    <row r="5" spans="1:10">
      <c r="A5" s="4">
        <v>10003</v>
      </c>
      <c r="B5" s="4" t="s">
        <v>1416</v>
      </c>
      <c r="C5" s="33">
        <v>7.0740740740740743E-2</v>
      </c>
      <c r="D5" s="4">
        <f t="shared" si="0"/>
        <v>6</v>
      </c>
      <c r="F5" s="4" t="s">
        <v>1417</v>
      </c>
      <c r="G5" s="7">
        <v>42103</v>
      </c>
      <c r="H5" s="4" t="str">
        <f t="shared" ref="H5:H9" si="1">IF(YEAR($H$2)-YEAR(G5)&gt;=10,"★",IF(YEAR($H$2)-YEAR(G5)&gt;=5,"☆",""))</f>
        <v>☆</v>
      </c>
    </row>
    <row r="6" spans="1:10">
      <c r="A6" s="4">
        <v>10004</v>
      </c>
      <c r="B6" s="4" t="s">
        <v>1418</v>
      </c>
      <c r="C6" s="33">
        <v>5.7256944444444437E-2</v>
      </c>
      <c r="D6" s="4">
        <f t="shared" si="0"/>
        <v>1</v>
      </c>
      <c r="F6" s="4" t="s">
        <v>1419</v>
      </c>
      <c r="G6" s="7">
        <v>43862</v>
      </c>
      <c r="H6" s="4" t="str">
        <f t="shared" si="1"/>
        <v/>
      </c>
    </row>
    <row r="7" spans="1:10">
      <c r="A7" s="4">
        <v>10005</v>
      </c>
      <c r="B7" s="4" t="s">
        <v>1420</v>
      </c>
      <c r="C7" s="33">
        <v>6.010416666666666E-2</v>
      </c>
      <c r="D7" s="4">
        <f t="shared" si="0"/>
        <v>3</v>
      </c>
      <c r="F7" s="4" t="s">
        <v>1421</v>
      </c>
      <c r="G7" s="7">
        <v>41593</v>
      </c>
      <c r="H7" s="4" t="str">
        <f t="shared" si="1"/>
        <v>☆</v>
      </c>
    </row>
    <row r="8" spans="1:10">
      <c r="A8" s="4">
        <v>10006</v>
      </c>
      <c r="B8" s="4" t="s">
        <v>1422</v>
      </c>
      <c r="C8" s="33"/>
      <c r="D8" s="4" t="str">
        <f t="shared" si="0"/>
        <v>실격</v>
      </c>
      <c r="F8" s="4" t="s">
        <v>1423</v>
      </c>
      <c r="G8" s="7">
        <v>40095</v>
      </c>
      <c r="H8" s="4" t="str">
        <f t="shared" si="1"/>
        <v>★</v>
      </c>
    </row>
    <row r="9" spans="1:10">
      <c r="A9" s="4">
        <v>10007</v>
      </c>
      <c r="B9" s="4" t="s">
        <v>1424</v>
      </c>
      <c r="C9" s="33">
        <v>6.7581018518518512E-2</v>
      </c>
      <c r="D9" s="4">
        <f t="shared" si="0"/>
        <v>4</v>
      </c>
      <c r="F9" s="4" t="s">
        <v>1425</v>
      </c>
      <c r="G9" s="7">
        <v>40399</v>
      </c>
      <c r="H9" s="4" t="str">
        <f t="shared" si="1"/>
        <v>★</v>
      </c>
    </row>
    <row r="10" spans="1:10">
      <c r="D10" s="4"/>
    </row>
    <row r="11" spans="1:10">
      <c r="A11" s="2" t="s">
        <v>1426</v>
      </c>
      <c r="B11" s="15" t="s">
        <v>1427</v>
      </c>
      <c r="D11" s="25"/>
      <c r="F11" s="2" t="s">
        <v>1428</v>
      </c>
      <c r="G11" s="15" t="s">
        <v>1429</v>
      </c>
      <c r="I11" s="25"/>
    </row>
    <row r="12" spans="1:10">
      <c r="A12" s="4" t="s">
        <v>1430</v>
      </c>
      <c r="B12" s="4" t="s">
        <v>1431</v>
      </c>
      <c r="C12" s="4" t="s">
        <v>1432</v>
      </c>
      <c r="D12" s="4" t="s">
        <v>1433</v>
      </c>
      <c r="F12" s="4" t="s">
        <v>1434</v>
      </c>
      <c r="G12" s="4" t="s">
        <v>1435</v>
      </c>
      <c r="H12" s="4" t="s">
        <v>1436</v>
      </c>
      <c r="I12" s="4" t="s">
        <v>1437</v>
      </c>
      <c r="J12" s="11" t="s">
        <v>1438</v>
      </c>
    </row>
    <row r="13" spans="1:10">
      <c r="A13" s="4" t="s">
        <v>1439</v>
      </c>
      <c r="B13" s="4" t="s">
        <v>1440</v>
      </c>
      <c r="C13" s="22">
        <v>3388</v>
      </c>
      <c r="D13" s="22">
        <f t="shared" ref="D13:D20" si="2">C13*1283</f>
        <v>4346804</v>
      </c>
      <c r="F13" s="4" t="s">
        <v>1441</v>
      </c>
      <c r="G13" s="6">
        <v>85</v>
      </c>
      <c r="H13" s="6">
        <v>75</v>
      </c>
      <c r="I13" s="6">
        <v>66</v>
      </c>
      <c r="J13" s="6" t="str">
        <f>HLOOKUP(AVERAGE(G13:I13),$G$23:$J$25,3)</f>
        <v>보통</v>
      </c>
    </row>
    <row r="14" spans="1:10">
      <c r="A14" s="4" t="s">
        <v>1442</v>
      </c>
      <c r="B14" s="4" t="s">
        <v>1443</v>
      </c>
      <c r="C14" s="22">
        <v>2461</v>
      </c>
      <c r="D14" s="22">
        <f t="shared" si="2"/>
        <v>3157463</v>
      </c>
      <c r="F14" s="4" t="s">
        <v>1444</v>
      </c>
      <c r="G14" s="4">
        <v>91</v>
      </c>
      <c r="H14" s="6">
        <v>84</v>
      </c>
      <c r="I14" s="6">
        <v>90</v>
      </c>
      <c r="J14" s="6" t="str">
        <f t="shared" ref="J14:J20" si="3">HLOOKUP(AVERAGE(G14:I14),$G$23:$J$25,3)</f>
        <v>양호</v>
      </c>
    </row>
    <row r="15" spans="1:10">
      <c r="A15" s="4" t="s">
        <v>1445</v>
      </c>
      <c r="B15" s="4" t="s">
        <v>1446</v>
      </c>
      <c r="C15" s="22">
        <v>2959</v>
      </c>
      <c r="D15" s="22">
        <f t="shared" si="2"/>
        <v>3796397</v>
      </c>
      <c r="F15" s="4" t="s">
        <v>1447</v>
      </c>
      <c r="G15" s="4">
        <v>75</v>
      </c>
      <c r="H15" s="6">
        <v>81</v>
      </c>
      <c r="I15" s="6">
        <v>80</v>
      </c>
      <c r="J15" s="6" t="str">
        <f t="shared" si="3"/>
        <v>보통</v>
      </c>
    </row>
    <row r="16" spans="1:10">
      <c r="A16" s="4" t="s">
        <v>1448</v>
      </c>
      <c r="B16" s="4" t="s">
        <v>1443</v>
      </c>
      <c r="C16" s="22">
        <v>3796</v>
      </c>
      <c r="D16" s="22">
        <f t="shared" si="2"/>
        <v>4870268</v>
      </c>
      <c r="F16" s="4" t="s">
        <v>1449</v>
      </c>
      <c r="G16" s="4">
        <v>86</v>
      </c>
      <c r="H16" s="6">
        <v>83</v>
      </c>
      <c r="I16" s="6">
        <v>87</v>
      </c>
      <c r="J16" s="6" t="str">
        <f t="shared" si="3"/>
        <v>양호</v>
      </c>
    </row>
    <row r="17" spans="1:10">
      <c r="A17" s="4" t="s">
        <v>1450</v>
      </c>
      <c r="B17" s="4" t="s">
        <v>1446</v>
      </c>
      <c r="C17" s="22">
        <v>3502</v>
      </c>
      <c r="D17" s="22">
        <f t="shared" si="2"/>
        <v>4493066</v>
      </c>
      <c r="F17" s="4" t="s">
        <v>1451</v>
      </c>
      <c r="G17" s="4">
        <v>96</v>
      </c>
      <c r="H17" s="6">
        <v>97</v>
      </c>
      <c r="I17" s="6">
        <v>96</v>
      </c>
      <c r="J17" s="6" t="str">
        <f t="shared" si="3"/>
        <v>우수</v>
      </c>
    </row>
    <row r="18" spans="1:10">
      <c r="A18" s="4" t="s">
        <v>1452</v>
      </c>
      <c r="B18" s="4" t="s">
        <v>1446</v>
      </c>
      <c r="C18" s="22">
        <v>2681</v>
      </c>
      <c r="D18" s="22">
        <f t="shared" si="2"/>
        <v>3439723</v>
      </c>
      <c r="F18" s="4" t="s">
        <v>1453</v>
      </c>
      <c r="G18" s="4">
        <v>92</v>
      </c>
      <c r="H18" s="6">
        <v>89</v>
      </c>
      <c r="I18" s="6">
        <v>93</v>
      </c>
      <c r="J18" s="6" t="str">
        <f t="shared" si="3"/>
        <v>우수</v>
      </c>
    </row>
    <row r="19" spans="1:10">
      <c r="A19" s="4" t="s">
        <v>1454</v>
      </c>
      <c r="B19" s="4" t="s">
        <v>1455</v>
      </c>
      <c r="C19" s="22">
        <v>4034</v>
      </c>
      <c r="D19" s="22">
        <f t="shared" si="2"/>
        <v>5175622</v>
      </c>
      <c r="F19" s="4" t="s">
        <v>1456</v>
      </c>
      <c r="G19" s="4">
        <v>61</v>
      </c>
      <c r="H19" s="6">
        <v>68</v>
      </c>
      <c r="I19" s="6">
        <v>57</v>
      </c>
      <c r="J19" s="6" t="str">
        <f t="shared" si="3"/>
        <v>미흡</v>
      </c>
    </row>
    <row r="20" spans="1:10">
      <c r="A20" s="4" t="s">
        <v>1457</v>
      </c>
      <c r="B20" s="4" t="s">
        <v>1443</v>
      </c>
      <c r="C20" s="22">
        <v>3498</v>
      </c>
      <c r="D20" s="22">
        <f t="shared" si="2"/>
        <v>4487934</v>
      </c>
      <c r="F20" s="4" t="s">
        <v>1458</v>
      </c>
      <c r="G20" s="4">
        <v>79</v>
      </c>
      <c r="H20" s="6">
        <v>73</v>
      </c>
      <c r="I20" s="6">
        <v>81</v>
      </c>
      <c r="J20" s="6" t="str">
        <f t="shared" si="3"/>
        <v>보통</v>
      </c>
    </row>
    <row r="22" spans="1:10">
      <c r="C22" s="4" t="s">
        <v>1192</v>
      </c>
      <c r="D22" s="11" t="s">
        <v>1459</v>
      </c>
      <c r="F22" s="23" t="s">
        <v>1460</v>
      </c>
    </row>
    <row r="23" spans="1:10">
      <c r="C23" s="4" t="s">
        <v>1443</v>
      </c>
      <c r="D23" s="6">
        <f>ROUND(DAVERAGE(A12:D20,4,C22:C23),1)</f>
        <v>4422821.8</v>
      </c>
      <c r="F23" s="47" t="s">
        <v>1461</v>
      </c>
      <c r="G23" s="4">
        <v>0</v>
      </c>
      <c r="H23" s="4">
        <v>70</v>
      </c>
      <c r="I23" s="4">
        <v>80</v>
      </c>
      <c r="J23" s="4">
        <v>90</v>
      </c>
    </row>
    <row r="24" spans="1:10">
      <c r="F24" s="48"/>
      <c r="G24" s="4">
        <v>70</v>
      </c>
      <c r="H24" s="4">
        <v>80</v>
      </c>
      <c r="I24" s="4">
        <v>90</v>
      </c>
      <c r="J24" s="4">
        <v>100</v>
      </c>
    </row>
    <row r="25" spans="1:10">
      <c r="F25" s="4" t="s">
        <v>1462</v>
      </c>
      <c r="G25" s="4" t="s">
        <v>1463</v>
      </c>
      <c r="H25" s="4" t="s">
        <v>1464</v>
      </c>
      <c r="I25" s="4" t="s">
        <v>1465</v>
      </c>
      <c r="J25" s="4" t="s">
        <v>1466</v>
      </c>
    </row>
    <row r="26" spans="1:10">
      <c r="A26" s="2" t="s">
        <v>1467</v>
      </c>
      <c r="B26" s="15" t="s">
        <v>1468</v>
      </c>
      <c r="D26" s="25"/>
    </row>
    <row r="27" spans="1:10">
      <c r="A27" s="4" t="s">
        <v>1469</v>
      </c>
      <c r="B27" s="4" t="s">
        <v>1470</v>
      </c>
      <c r="C27" s="4" t="s">
        <v>1471</v>
      </c>
      <c r="D27" s="4" t="s">
        <v>1472</v>
      </c>
      <c r="E27" s="4" t="s">
        <v>1473</v>
      </c>
    </row>
    <row r="28" spans="1:10">
      <c r="A28" s="4" t="s">
        <v>1474</v>
      </c>
      <c r="B28" s="4" t="s">
        <v>1475</v>
      </c>
      <c r="C28" s="6" t="s">
        <v>1476</v>
      </c>
      <c r="D28" s="6">
        <v>691</v>
      </c>
      <c r="E28" s="13">
        <f>D28*12500</f>
        <v>8637500</v>
      </c>
    </row>
    <row r="29" spans="1:10">
      <c r="A29" s="4" t="s">
        <v>1477</v>
      </c>
      <c r="B29" s="4" t="s">
        <v>1478</v>
      </c>
      <c r="C29" s="6" t="s">
        <v>1479</v>
      </c>
      <c r="D29" s="6">
        <v>567</v>
      </c>
      <c r="E29" s="13">
        <f t="shared" ref="E29:E36" si="4">D29*12500</f>
        <v>7087500</v>
      </c>
    </row>
    <row r="30" spans="1:10">
      <c r="A30" s="4" t="s">
        <v>1480</v>
      </c>
      <c r="B30" s="4" t="s">
        <v>1481</v>
      </c>
      <c r="C30" s="6" t="s">
        <v>1476</v>
      </c>
      <c r="D30" s="6">
        <v>816</v>
      </c>
      <c r="E30" s="13">
        <f t="shared" si="4"/>
        <v>10200000</v>
      </c>
    </row>
    <row r="31" spans="1:10">
      <c r="A31" s="4" t="s">
        <v>1482</v>
      </c>
      <c r="B31" s="4" t="s">
        <v>1478</v>
      </c>
      <c r="C31" s="6" t="s">
        <v>1479</v>
      </c>
      <c r="D31" s="6">
        <v>733</v>
      </c>
      <c r="E31" s="13">
        <f t="shared" si="4"/>
        <v>9162500</v>
      </c>
    </row>
    <row r="32" spans="1:10">
      <c r="A32" s="4" t="s">
        <v>1483</v>
      </c>
      <c r="B32" s="4" t="s">
        <v>1484</v>
      </c>
      <c r="C32" s="6" t="s">
        <v>1476</v>
      </c>
      <c r="D32" s="6">
        <v>594</v>
      </c>
      <c r="E32" s="13">
        <f t="shared" si="4"/>
        <v>7425000</v>
      </c>
    </row>
    <row r="33" spans="1:5">
      <c r="A33" s="4" t="s">
        <v>1485</v>
      </c>
      <c r="B33" s="4" t="s">
        <v>1486</v>
      </c>
      <c r="C33" s="6" t="s">
        <v>1476</v>
      </c>
      <c r="D33" s="6">
        <v>834</v>
      </c>
      <c r="E33" s="13">
        <f t="shared" si="4"/>
        <v>10425000</v>
      </c>
    </row>
    <row r="34" spans="1:5">
      <c r="A34" s="4" t="s">
        <v>1487</v>
      </c>
      <c r="B34" s="4" t="s">
        <v>1488</v>
      </c>
      <c r="C34" s="6" t="s">
        <v>1479</v>
      </c>
      <c r="D34" s="6">
        <v>765</v>
      </c>
      <c r="E34" s="13">
        <f t="shared" si="4"/>
        <v>9562500</v>
      </c>
    </row>
    <row r="35" spans="1:5">
      <c r="A35" s="4" t="s">
        <v>1489</v>
      </c>
      <c r="B35" s="4" t="s">
        <v>1475</v>
      </c>
      <c r="C35" s="6" t="s">
        <v>1490</v>
      </c>
      <c r="D35" s="6">
        <v>702</v>
      </c>
      <c r="E35" s="13">
        <f t="shared" si="4"/>
        <v>8775000</v>
      </c>
    </row>
    <row r="36" spans="1:5">
      <c r="A36" s="4" t="s">
        <v>1491</v>
      </c>
      <c r="B36" s="4" t="s">
        <v>1481</v>
      </c>
      <c r="C36" s="6" t="s">
        <v>1476</v>
      </c>
      <c r="D36" s="6">
        <v>627</v>
      </c>
      <c r="E36" s="13">
        <f t="shared" si="4"/>
        <v>7837500</v>
      </c>
    </row>
    <row r="38" spans="1:5">
      <c r="A38" s="4" t="s">
        <v>1492</v>
      </c>
      <c r="B38" s="4" t="s">
        <v>1490</v>
      </c>
      <c r="D38" s="11" t="s">
        <v>1493</v>
      </c>
      <c r="E38" s="11" t="s">
        <v>1494</v>
      </c>
    </row>
    <row r="39" spans="1:5">
      <c r="D39" s="13">
        <f>SUMIFS(D28:D36,$B$28:$B$36,$A$38,$C$28:$C$36,$B$38)</f>
        <v>1987</v>
      </c>
      <c r="E39" s="13">
        <f>SUMIFS(E28:E36,$B$28:$B$36,$A$38,$C$28:$C$36,$B$38)</f>
        <v>24837500</v>
      </c>
    </row>
  </sheetData>
  <mergeCells count="1">
    <mergeCell ref="F23:F24"/>
  </mergeCells>
  <phoneticPr fontId="1" type="noConversion"/>
  <dataValidations count="2">
    <dataValidation type="list" allowBlank="1" showInputMessage="1" showErrorMessage="1" sqref="B38" xr:uid="{00000000-0002-0000-0C00-000000000000}">
      <formula1>$C$28:$C$29</formula1>
    </dataValidation>
    <dataValidation type="list" allowBlank="1" showInputMessage="1" showErrorMessage="1" sqref="A38" xr:uid="{00000000-0002-0000-0C00-000001000000}">
      <formula1>$B$28:$B$30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2"/>
  <sheetViews>
    <sheetView topLeftCell="A22" workbookViewId="0">
      <selection activeCell="E32" sqref="E32:F32"/>
    </sheetView>
  </sheetViews>
  <sheetFormatPr defaultRowHeight="17.399999999999999"/>
  <cols>
    <col min="7" max="7" width="10.3984375" bestFit="1" customWidth="1"/>
  </cols>
  <sheetData>
    <row r="1" spans="1:11">
      <c r="A1" s="1" t="s">
        <v>1574</v>
      </c>
      <c r="B1" s="15" t="s">
        <v>1575</v>
      </c>
      <c r="G1" s="2" t="s">
        <v>1576</v>
      </c>
      <c r="H1" s="15" t="s">
        <v>1577</v>
      </c>
    </row>
    <row r="2" spans="1:11">
      <c r="A2" s="4" t="s">
        <v>1578</v>
      </c>
      <c r="B2" s="4" t="s">
        <v>1579</v>
      </c>
      <c r="C2" s="4" t="s">
        <v>1580</v>
      </c>
      <c r="D2" s="4" t="s">
        <v>1581</v>
      </c>
      <c r="E2" s="4" t="s">
        <v>1582</v>
      </c>
      <c r="G2" s="4" t="s">
        <v>1583</v>
      </c>
      <c r="H2" s="4" t="s">
        <v>1584</v>
      </c>
      <c r="I2" s="4" t="s">
        <v>1585</v>
      </c>
      <c r="J2" s="4" t="s">
        <v>1586</v>
      </c>
      <c r="K2" s="4" t="s">
        <v>1587</v>
      </c>
    </row>
    <row r="3" spans="1:11">
      <c r="A3" s="4">
        <v>1</v>
      </c>
      <c r="B3" s="4" t="s">
        <v>1588</v>
      </c>
      <c r="C3" s="4" t="s">
        <v>1589</v>
      </c>
      <c r="D3" s="4">
        <v>78.8</v>
      </c>
      <c r="E3" s="4"/>
      <c r="G3" s="4" t="s">
        <v>1591</v>
      </c>
      <c r="H3" s="4" t="s">
        <v>1592</v>
      </c>
      <c r="I3" s="4" t="s">
        <v>1593</v>
      </c>
      <c r="J3" s="4" t="s">
        <v>1594</v>
      </c>
      <c r="K3" s="4" t="s">
        <v>1595</v>
      </c>
    </row>
    <row r="4" spans="1:11">
      <c r="A4" s="4">
        <v>2</v>
      </c>
      <c r="B4" s="4" t="s">
        <v>1596</v>
      </c>
      <c r="C4" s="4" t="s">
        <v>1563</v>
      </c>
      <c r="D4" s="4">
        <v>86.7</v>
      </c>
      <c r="E4" s="4" t="s">
        <v>1597</v>
      </c>
      <c r="G4" s="4" t="s">
        <v>1590</v>
      </c>
      <c r="H4" s="4" t="s">
        <v>1598</v>
      </c>
      <c r="I4" s="4" t="s">
        <v>1599</v>
      </c>
      <c r="J4" s="4" t="s">
        <v>1600</v>
      </c>
      <c r="K4" s="4" t="s">
        <v>1601</v>
      </c>
    </row>
    <row r="5" spans="1:11">
      <c r="A5" s="4">
        <v>3</v>
      </c>
      <c r="B5" s="4" t="s">
        <v>1602</v>
      </c>
      <c r="C5" s="4" t="s">
        <v>1603</v>
      </c>
      <c r="D5" s="4">
        <v>91.5</v>
      </c>
      <c r="E5" s="4"/>
      <c r="G5" s="4" t="s">
        <v>1604</v>
      </c>
      <c r="H5" s="4" t="s">
        <v>1605</v>
      </c>
      <c r="I5" s="4" t="s">
        <v>1606</v>
      </c>
      <c r="J5" s="4" t="s">
        <v>1607</v>
      </c>
      <c r="K5" s="4" t="s">
        <v>1608</v>
      </c>
    </row>
    <row r="6" spans="1:11">
      <c r="A6" s="4">
        <v>4</v>
      </c>
      <c r="B6" s="4" t="s">
        <v>1609</v>
      </c>
      <c r="C6" s="4" t="s">
        <v>1610</v>
      </c>
      <c r="D6" s="4">
        <v>82.1</v>
      </c>
      <c r="E6" s="4" t="s">
        <v>1611</v>
      </c>
      <c r="G6" s="4" t="s">
        <v>1612</v>
      </c>
      <c r="H6" s="4" t="s">
        <v>1613</v>
      </c>
      <c r="I6" s="4" t="s">
        <v>1615</v>
      </c>
      <c r="J6" s="4" t="s">
        <v>1616</v>
      </c>
      <c r="K6" s="4" t="s">
        <v>1617</v>
      </c>
    </row>
    <row r="7" spans="1:11">
      <c r="A7" s="4">
        <v>5</v>
      </c>
      <c r="B7" s="4" t="s">
        <v>1618</v>
      </c>
      <c r="C7" s="4" t="s">
        <v>1589</v>
      </c>
      <c r="D7" s="4">
        <v>92.2</v>
      </c>
      <c r="E7" s="4"/>
      <c r="G7" s="4" t="s">
        <v>1619</v>
      </c>
      <c r="H7" s="4" t="s">
        <v>1620</v>
      </c>
      <c r="I7" s="4" t="s">
        <v>1621</v>
      </c>
      <c r="J7" s="4" t="s">
        <v>1622</v>
      </c>
      <c r="K7" s="4" t="s">
        <v>1623</v>
      </c>
    </row>
    <row r="8" spans="1:11">
      <c r="A8" s="4">
        <v>6</v>
      </c>
      <c r="B8" s="4" t="s">
        <v>1624</v>
      </c>
      <c r="C8" s="4" t="s">
        <v>1563</v>
      </c>
      <c r="D8" s="4">
        <v>79.400000000000006</v>
      </c>
      <c r="E8" s="4"/>
      <c r="G8" s="4" t="s">
        <v>1625</v>
      </c>
      <c r="H8" s="4" t="s">
        <v>1626</v>
      </c>
      <c r="I8" s="4" t="s">
        <v>1614</v>
      </c>
      <c r="J8" s="4" t="s">
        <v>1627</v>
      </c>
      <c r="K8" s="4" t="s">
        <v>1628</v>
      </c>
    </row>
    <row r="9" spans="1:11">
      <c r="A9" s="4">
        <v>7</v>
      </c>
      <c r="B9" s="4" t="s">
        <v>1629</v>
      </c>
      <c r="C9" s="4" t="s">
        <v>1572</v>
      </c>
      <c r="D9" s="4">
        <v>88.6</v>
      </c>
      <c r="E9" s="4"/>
      <c r="G9" s="4" t="s">
        <v>1625</v>
      </c>
      <c r="H9" s="4" t="s">
        <v>1630</v>
      </c>
      <c r="I9" s="4" t="s">
        <v>1631</v>
      </c>
      <c r="J9" s="4" t="s">
        <v>1632</v>
      </c>
      <c r="K9" s="4" t="s">
        <v>1633</v>
      </c>
    </row>
    <row r="11" spans="1:11">
      <c r="A11" s="49" t="s">
        <v>1634</v>
      </c>
      <c r="B11" s="4" t="s">
        <v>586</v>
      </c>
      <c r="C11" s="4" t="s">
        <v>586</v>
      </c>
      <c r="D11" s="36" t="s">
        <v>1635</v>
      </c>
      <c r="E11" s="38"/>
      <c r="G11" s="4" t="s">
        <v>1636</v>
      </c>
      <c r="H11" s="4" t="s">
        <v>1620</v>
      </c>
      <c r="I11" s="4" t="s">
        <v>1605</v>
      </c>
      <c r="J11" s="4" t="s">
        <v>1637</v>
      </c>
      <c r="K11" s="4" t="s">
        <v>1638</v>
      </c>
    </row>
    <row r="12" spans="1:11">
      <c r="A12" s="49"/>
      <c r="B12" s="4" t="s">
        <v>1563</v>
      </c>
      <c r="C12" s="4" t="s">
        <v>1567</v>
      </c>
      <c r="D12" s="40">
        <f>ROUNDUP(AVERAGE(DMAX(A2:E9,4,B11:B12),DMAX(A2:E9,4,C11:C12)),1)</f>
        <v>91.899999999999991</v>
      </c>
      <c r="E12" s="41"/>
      <c r="G12" s="11" t="s">
        <v>1640</v>
      </c>
      <c r="H12" s="4" t="str">
        <f>IF(COUNTIF($H$3:$H$9,H11)&gt;=2,"우수","일반")</f>
        <v>우수</v>
      </c>
      <c r="I12" s="4" t="str">
        <f t="shared" ref="I12:J12" si="0">IF(COUNTIF($H$3:$H$9,I11)&gt;=2,"우수","일반")</f>
        <v>일반</v>
      </c>
      <c r="J12" s="4" t="str">
        <f t="shared" si="0"/>
        <v>일반</v>
      </c>
      <c r="K12" s="4" t="str">
        <f>IF(COUNTIF($H$3:$H$9,K11)&gt;=2,"우수","일반")</f>
        <v>우수</v>
      </c>
    </row>
    <row r="14" spans="1:11">
      <c r="A14" s="2" t="s">
        <v>529</v>
      </c>
      <c r="B14" s="15" t="s">
        <v>1641</v>
      </c>
      <c r="G14" s="2" t="s">
        <v>484</v>
      </c>
      <c r="H14" s="15" t="s">
        <v>1642</v>
      </c>
    </row>
    <row r="15" spans="1:11">
      <c r="A15" s="4" t="s">
        <v>1643</v>
      </c>
      <c r="B15" s="4" t="s">
        <v>1644</v>
      </c>
      <c r="C15" s="4" t="s">
        <v>1645</v>
      </c>
      <c r="D15" s="4" t="s">
        <v>586</v>
      </c>
      <c r="E15" s="11" t="s">
        <v>1646</v>
      </c>
      <c r="G15" s="4" t="s">
        <v>707</v>
      </c>
      <c r="H15" s="4" t="s">
        <v>1647</v>
      </c>
      <c r="I15" s="4" t="s">
        <v>1648</v>
      </c>
      <c r="J15" s="4" t="s">
        <v>1649</v>
      </c>
      <c r="K15" s="11" t="s">
        <v>1650</v>
      </c>
    </row>
    <row r="16" spans="1:11">
      <c r="A16" s="4" t="s">
        <v>1651</v>
      </c>
      <c r="B16" s="4" t="s">
        <v>1652</v>
      </c>
      <c r="C16" s="4" t="s">
        <v>1653</v>
      </c>
      <c r="D16" s="4" t="s">
        <v>1639</v>
      </c>
      <c r="E16" s="4" t="str">
        <f>CHOOSE(RIGHT(A16,1),"가구","도서","요리","손글씨","손글씨")</f>
        <v>도서</v>
      </c>
      <c r="G16" s="4" t="s">
        <v>1654</v>
      </c>
      <c r="H16" s="4" t="s">
        <v>1655</v>
      </c>
      <c r="I16" s="35">
        <v>0.5587037037037037</v>
      </c>
      <c r="J16" s="35">
        <v>0.5822222222222222</v>
      </c>
      <c r="K16" s="35">
        <f>IF(RIGHT(G16,3)="자동차",(J16-I16)+TIME(,2,),J16-I16)</f>
        <v>2.3518518518518494E-2</v>
      </c>
    </row>
    <row r="17" spans="1:11">
      <c r="A17" s="4" t="s">
        <v>1656</v>
      </c>
      <c r="B17" s="4" t="s">
        <v>1657</v>
      </c>
      <c r="C17" s="4" t="s">
        <v>1658</v>
      </c>
      <c r="D17" s="4" t="s">
        <v>1603</v>
      </c>
      <c r="E17" s="4" t="str">
        <f t="shared" ref="E17:E22" si="1">CHOOSE(RIGHT(A17,1),"가구","도서","요리","손글씨","손글씨")</f>
        <v>가구</v>
      </c>
      <c r="G17" s="4" t="s">
        <v>1659</v>
      </c>
      <c r="H17" s="4" t="s">
        <v>1660</v>
      </c>
      <c r="I17" s="35">
        <v>0.58013888888888887</v>
      </c>
      <c r="J17" s="35">
        <v>0.60688657407407409</v>
      </c>
      <c r="K17" s="35">
        <f t="shared" ref="K17:K22" si="2">IF(RIGHT(G17,3)="자동차",(J17-I17)+TIME(,2,),J17-I17)</f>
        <v>2.8136574074074109E-2</v>
      </c>
    </row>
    <row r="18" spans="1:11">
      <c r="A18" s="4" t="s">
        <v>1661</v>
      </c>
      <c r="B18" s="4" t="s">
        <v>1662</v>
      </c>
      <c r="C18" s="4" t="s">
        <v>1663</v>
      </c>
      <c r="D18" s="4" t="s">
        <v>1572</v>
      </c>
      <c r="E18" s="4" t="str">
        <f t="shared" si="1"/>
        <v>요리</v>
      </c>
      <c r="G18" s="4" t="s">
        <v>1664</v>
      </c>
      <c r="H18" s="4" t="s">
        <v>1665</v>
      </c>
      <c r="I18" s="35">
        <v>0.5663541666666666</v>
      </c>
      <c r="J18" s="35">
        <v>0.60390046296296296</v>
      </c>
      <c r="K18" s="35">
        <f t="shared" si="2"/>
        <v>3.7546296296296355E-2</v>
      </c>
    </row>
    <row r="19" spans="1:11">
      <c r="A19" s="4" t="s">
        <v>1666</v>
      </c>
      <c r="B19" s="4" t="s">
        <v>1667</v>
      </c>
      <c r="C19" s="4" t="s">
        <v>1668</v>
      </c>
      <c r="D19" s="4" t="s">
        <v>1572</v>
      </c>
      <c r="E19" s="4" t="str">
        <f t="shared" si="1"/>
        <v>손글씨</v>
      </c>
      <c r="G19" s="4" t="s">
        <v>1669</v>
      </c>
      <c r="H19" s="4" t="s">
        <v>1670</v>
      </c>
      <c r="I19" s="35">
        <v>0.55435185185185187</v>
      </c>
      <c r="J19" s="35">
        <v>0.57571759259259259</v>
      </c>
      <c r="K19" s="35">
        <f t="shared" si="2"/>
        <v>2.1365740740740713E-2</v>
      </c>
    </row>
    <row r="20" spans="1:11">
      <c r="A20" s="4" t="s">
        <v>1671</v>
      </c>
      <c r="B20" s="4" t="s">
        <v>1672</v>
      </c>
      <c r="C20" s="4" t="s">
        <v>1673</v>
      </c>
      <c r="D20" s="4" t="s">
        <v>1674</v>
      </c>
      <c r="E20" s="4" t="str">
        <f t="shared" si="1"/>
        <v>가구</v>
      </c>
      <c r="G20" s="4" t="s">
        <v>1675</v>
      </c>
      <c r="H20" s="4" t="s">
        <v>1676</v>
      </c>
      <c r="I20" s="35">
        <v>0.56436342592592592</v>
      </c>
      <c r="J20" s="35">
        <v>0.59150462962962969</v>
      </c>
      <c r="K20" s="35">
        <f t="shared" si="2"/>
        <v>2.8530092592592652E-2</v>
      </c>
    </row>
    <row r="21" spans="1:11">
      <c r="A21" s="4" t="s">
        <v>1677</v>
      </c>
      <c r="B21" s="4" t="s">
        <v>1678</v>
      </c>
      <c r="C21" s="4" t="s">
        <v>1679</v>
      </c>
      <c r="D21" s="4" t="s">
        <v>1610</v>
      </c>
      <c r="E21" s="4" t="str">
        <f t="shared" si="1"/>
        <v>요리</v>
      </c>
      <c r="G21" s="4" t="s">
        <v>1680</v>
      </c>
      <c r="H21" s="4" t="s">
        <v>1681</v>
      </c>
      <c r="I21" s="35">
        <v>0.57093749999999999</v>
      </c>
      <c r="J21" s="35">
        <v>0.60993055555555553</v>
      </c>
      <c r="K21" s="35">
        <f t="shared" si="2"/>
        <v>4.0381944444444436E-2</v>
      </c>
    </row>
    <row r="22" spans="1:11">
      <c r="A22" s="4" t="s">
        <v>1682</v>
      </c>
      <c r="B22" s="4" t="s">
        <v>1683</v>
      </c>
      <c r="C22" s="4" t="s">
        <v>1684</v>
      </c>
      <c r="D22" s="4" t="s">
        <v>1572</v>
      </c>
      <c r="E22" s="4" t="str">
        <f t="shared" si="1"/>
        <v>손글씨</v>
      </c>
      <c r="G22" s="4" t="s">
        <v>1685</v>
      </c>
      <c r="H22" s="4" t="s">
        <v>1686</v>
      </c>
      <c r="I22" s="35">
        <v>0.56136574074074075</v>
      </c>
      <c r="J22" s="35">
        <v>0.58783564814814815</v>
      </c>
      <c r="K22" s="35">
        <f t="shared" si="2"/>
        <v>2.64699074074074E-2</v>
      </c>
    </row>
    <row r="24" spans="1:11">
      <c r="A24" s="2" t="s">
        <v>1687</v>
      </c>
      <c r="B24" s="15" t="s">
        <v>1688</v>
      </c>
    </row>
    <row r="25" spans="1:11">
      <c r="A25" s="4" t="s">
        <v>1689</v>
      </c>
      <c r="B25" s="4" t="s">
        <v>1690</v>
      </c>
      <c r="C25" s="4" t="s">
        <v>1691</v>
      </c>
      <c r="D25" s="4" t="s">
        <v>1692</v>
      </c>
    </row>
    <row r="26" spans="1:11">
      <c r="A26" s="4" t="s">
        <v>1693</v>
      </c>
      <c r="B26" s="4" t="s">
        <v>1694</v>
      </c>
      <c r="C26" s="4">
        <v>18</v>
      </c>
      <c r="D26" s="4">
        <v>25</v>
      </c>
    </row>
    <row r="27" spans="1:11">
      <c r="A27" s="4" t="s">
        <v>1695</v>
      </c>
      <c r="B27" s="4" t="s">
        <v>1696</v>
      </c>
      <c r="C27" s="4">
        <v>25</v>
      </c>
      <c r="D27" s="4">
        <v>22</v>
      </c>
    </row>
    <row r="28" spans="1:11">
      <c r="A28" s="4" t="s">
        <v>1697</v>
      </c>
      <c r="B28" s="4" t="s">
        <v>1698</v>
      </c>
      <c r="C28" s="4">
        <v>32</v>
      </c>
      <c r="D28" s="4">
        <v>15</v>
      </c>
    </row>
    <row r="29" spans="1:11">
      <c r="A29" s="4" t="s">
        <v>1699</v>
      </c>
      <c r="B29" s="4" t="s">
        <v>1700</v>
      </c>
      <c r="C29" s="4">
        <v>24</v>
      </c>
      <c r="D29" s="4">
        <v>19</v>
      </c>
    </row>
    <row r="30" spans="1:11">
      <c r="A30" s="4" t="s">
        <v>1701</v>
      </c>
      <c r="B30" s="4" t="s">
        <v>1702</v>
      </c>
      <c r="C30" s="4">
        <v>28</v>
      </c>
      <c r="D30" s="4">
        <v>27</v>
      </c>
    </row>
    <row r="31" spans="1:11">
      <c r="A31" s="4" t="s">
        <v>1703</v>
      </c>
      <c r="B31" s="4" t="s">
        <v>1704</v>
      </c>
      <c r="C31" s="4">
        <v>16</v>
      </c>
      <c r="D31" s="4">
        <v>18</v>
      </c>
      <c r="E31" s="42" t="s">
        <v>1705</v>
      </c>
      <c r="F31" s="42"/>
    </row>
    <row r="32" spans="1:11">
      <c r="A32" s="4" t="s">
        <v>1706</v>
      </c>
      <c r="B32" s="4" t="s">
        <v>1707</v>
      </c>
      <c r="C32" s="4">
        <v>21</v>
      </c>
      <c r="D32" s="4">
        <v>20</v>
      </c>
      <c r="E32" s="43">
        <f>COUNTIFS(C26:C32,"&gt;="&amp;LARGE(C26:C32,3),D26:D32,"&gt;="&amp;LARGE(D26:D32,3))</f>
        <v>2</v>
      </c>
      <c r="F32" s="43"/>
    </row>
  </sheetData>
  <mergeCells count="5">
    <mergeCell ref="A11:A12"/>
    <mergeCell ref="D11:E11"/>
    <mergeCell ref="D12:E12"/>
    <mergeCell ref="E31:F31"/>
    <mergeCell ref="E32:F3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0"/>
  <sheetViews>
    <sheetView topLeftCell="A25" workbookViewId="0">
      <selection activeCell="E33" sqref="E33"/>
    </sheetView>
  </sheetViews>
  <sheetFormatPr defaultRowHeight="17.399999999999999"/>
  <cols>
    <col min="3" max="3" width="9.296875" bestFit="1" customWidth="1"/>
    <col min="4" max="4" width="9.09765625" bestFit="1" customWidth="1"/>
    <col min="9" max="9" width="14.09765625" bestFit="1" customWidth="1"/>
  </cols>
  <sheetData>
    <row r="1" spans="1:10">
      <c r="A1" s="1" t="s">
        <v>778</v>
      </c>
      <c r="B1" s="15" t="s">
        <v>779</v>
      </c>
      <c r="G1" s="2" t="s">
        <v>1</v>
      </c>
      <c r="H1" s="15" t="s">
        <v>780</v>
      </c>
    </row>
    <row r="2" spans="1:10">
      <c r="A2" s="4" t="s">
        <v>781</v>
      </c>
      <c r="B2" s="4" t="s">
        <v>122</v>
      </c>
      <c r="C2" s="4" t="s">
        <v>125</v>
      </c>
      <c r="D2" s="4" t="s">
        <v>782</v>
      </c>
      <c r="E2" s="4" t="s">
        <v>783</v>
      </c>
      <c r="G2" s="4" t="s">
        <v>485</v>
      </c>
      <c r="H2" s="4" t="s">
        <v>784</v>
      </c>
      <c r="I2" s="4" t="s">
        <v>123</v>
      </c>
      <c r="J2" s="11" t="s">
        <v>785</v>
      </c>
    </row>
    <row r="3" spans="1:10">
      <c r="A3" s="4" t="s">
        <v>786</v>
      </c>
      <c r="B3" s="4" t="s">
        <v>787</v>
      </c>
      <c r="C3" s="4" t="s">
        <v>358</v>
      </c>
      <c r="D3" s="4">
        <v>83</v>
      </c>
      <c r="E3" s="4">
        <v>67</v>
      </c>
      <c r="G3" s="4" t="s">
        <v>788</v>
      </c>
      <c r="H3" s="4" t="s">
        <v>789</v>
      </c>
      <c r="I3" s="4" t="s">
        <v>790</v>
      </c>
      <c r="J3" s="4" t="str">
        <f>IF(MOD(MID(I3,8,1),2)=0,"여","남")</f>
        <v>남</v>
      </c>
    </row>
    <row r="4" spans="1:10">
      <c r="A4" s="4" t="s">
        <v>791</v>
      </c>
      <c r="B4" s="4" t="s">
        <v>792</v>
      </c>
      <c r="C4" s="4" t="s">
        <v>362</v>
      </c>
      <c r="D4" s="4">
        <v>91</v>
      </c>
      <c r="E4" s="4">
        <v>75</v>
      </c>
      <c r="G4" s="4" t="s">
        <v>793</v>
      </c>
      <c r="H4" s="4" t="s">
        <v>794</v>
      </c>
      <c r="I4" s="4" t="s">
        <v>795</v>
      </c>
      <c r="J4" s="4" t="str">
        <f t="shared" ref="J4:J12" si="0">IF(MOD(MID(I4,8,1),2)=0,"여","남")</f>
        <v>여</v>
      </c>
    </row>
    <row r="5" spans="1:10">
      <c r="A5" s="4" t="s">
        <v>796</v>
      </c>
      <c r="B5" s="4" t="s">
        <v>797</v>
      </c>
      <c r="C5" s="4" t="s">
        <v>358</v>
      </c>
      <c r="D5" s="4">
        <v>88</v>
      </c>
      <c r="E5" s="4">
        <v>83</v>
      </c>
      <c r="G5" s="4" t="s">
        <v>798</v>
      </c>
      <c r="H5" s="4" t="s">
        <v>799</v>
      </c>
      <c r="I5" s="4" t="s">
        <v>800</v>
      </c>
      <c r="J5" s="4" t="str">
        <f t="shared" si="0"/>
        <v>여</v>
      </c>
    </row>
    <row r="6" spans="1:10">
      <c r="A6" s="4" t="s">
        <v>801</v>
      </c>
      <c r="B6" s="4" t="s">
        <v>802</v>
      </c>
      <c r="C6" s="4" t="s">
        <v>358</v>
      </c>
      <c r="D6" s="4">
        <v>73</v>
      </c>
      <c r="E6" s="4">
        <v>72</v>
      </c>
      <c r="G6" s="4" t="s">
        <v>803</v>
      </c>
      <c r="H6" s="4" t="s">
        <v>789</v>
      </c>
      <c r="I6" s="4" t="s">
        <v>804</v>
      </c>
      <c r="J6" s="4" t="str">
        <f t="shared" si="0"/>
        <v>남</v>
      </c>
    </row>
    <row r="7" spans="1:10">
      <c r="A7" s="4" t="s">
        <v>805</v>
      </c>
      <c r="B7" s="4" t="s">
        <v>806</v>
      </c>
      <c r="C7" s="4" t="s">
        <v>362</v>
      </c>
      <c r="D7" s="4">
        <v>65</v>
      </c>
      <c r="E7" s="4">
        <v>70</v>
      </c>
      <c r="G7" s="4" t="s">
        <v>807</v>
      </c>
      <c r="H7" s="4" t="s">
        <v>808</v>
      </c>
      <c r="I7" s="4" t="s">
        <v>809</v>
      </c>
      <c r="J7" s="4" t="str">
        <f t="shared" si="0"/>
        <v>남</v>
      </c>
    </row>
    <row r="8" spans="1:10">
      <c r="A8" s="4" t="s">
        <v>810</v>
      </c>
      <c r="B8" s="4" t="s">
        <v>811</v>
      </c>
      <c r="C8" s="4" t="s">
        <v>358</v>
      </c>
      <c r="D8" s="4">
        <v>94</v>
      </c>
      <c r="E8" s="4">
        <v>98</v>
      </c>
      <c r="G8" s="4" t="s">
        <v>812</v>
      </c>
      <c r="H8" s="4" t="s">
        <v>794</v>
      </c>
      <c r="I8" s="4" t="s">
        <v>813</v>
      </c>
      <c r="J8" s="4" t="str">
        <f t="shared" si="0"/>
        <v>여</v>
      </c>
    </row>
    <row r="9" spans="1:10">
      <c r="A9" s="4" t="s">
        <v>814</v>
      </c>
      <c r="B9" s="4" t="s">
        <v>815</v>
      </c>
      <c r="C9" s="4" t="s">
        <v>362</v>
      </c>
      <c r="D9" s="4">
        <v>55</v>
      </c>
      <c r="E9" s="4">
        <v>51</v>
      </c>
      <c r="G9" s="4" t="s">
        <v>816</v>
      </c>
      <c r="H9" s="4" t="s">
        <v>789</v>
      </c>
      <c r="I9" s="4" t="s">
        <v>817</v>
      </c>
      <c r="J9" s="4" t="str">
        <f t="shared" si="0"/>
        <v>여</v>
      </c>
    </row>
    <row r="10" spans="1:10">
      <c r="A10" s="4" t="s">
        <v>818</v>
      </c>
      <c r="B10" s="4" t="s">
        <v>819</v>
      </c>
      <c r="C10" s="4" t="s">
        <v>358</v>
      </c>
      <c r="D10" s="4">
        <v>89</v>
      </c>
      <c r="E10" s="4">
        <v>79</v>
      </c>
      <c r="G10" s="4" t="s">
        <v>820</v>
      </c>
      <c r="H10" s="4" t="s">
        <v>799</v>
      </c>
      <c r="I10" s="4" t="s">
        <v>821</v>
      </c>
      <c r="J10" s="4" t="str">
        <f t="shared" si="0"/>
        <v>남</v>
      </c>
    </row>
    <row r="11" spans="1:10">
      <c r="A11" s="4" t="s">
        <v>822</v>
      </c>
      <c r="B11" s="4" t="s">
        <v>823</v>
      </c>
      <c r="C11" s="4" t="s">
        <v>362</v>
      </c>
      <c r="D11" s="4">
        <v>90</v>
      </c>
      <c r="E11" s="4">
        <v>84</v>
      </c>
      <c r="G11" s="4" t="s">
        <v>824</v>
      </c>
      <c r="H11" s="4" t="s">
        <v>808</v>
      </c>
      <c r="I11" s="4" t="s">
        <v>825</v>
      </c>
      <c r="J11" s="4" t="str">
        <f t="shared" si="0"/>
        <v>여</v>
      </c>
    </row>
    <row r="12" spans="1:10">
      <c r="A12" s="42" t="s">
        <v>826</v>
      </c>
      <c r="B12" s="42"/>
      <c r="C12" s="42"/>
      <c r="D12" s="42"/>
      <c r="E12" s="4" t="str">
        <f>COUNTIFS(D3:D11,"&gt;=80",E3:E11,"&gt;=70")&amp;"명"</f>
        <v>5명</v>
      </c>
      <c r="G12" s="4" t="s">
        <v>827</v>
      </c>
      <c r="H12" s="4" t="s">
        <v>789</v>
      </c>
      <c r="I12" s="4" t="s">
        <v>828</v>
      </c>
      <c r="J12" s="4" t="str">
        <f t="shared" si="0"/>
        <v>여</v>
      </c>
    </row>
    <row r="14" spans="1:10">
      <c r="A14" s="2" t="s">
        <v>100</v>
      </c>
      <c r="B14" s="15" t="s">
        <v>829</v>
      </c>
      <c r="H14" s="2" t="s">
        <v>98</v>
      </c>
      <c r="I14" s="15" t="s">
        <v>830</v>
      </c>
    </row>
    <row r="15" spans="1:10">
      <c r="A15" s="4" t="s">
        <v>831</v>
      </c>
      <c r="B15" s="4" t="s">
        <v>832</v>
      </c>
      <c r="C15" s="4" t="s">
        <v>833</v>
      </c>
      <c r="D15" s="4" t="s">
        <v>834</v>
      </c>
      <c r="E15" s="4" t="s">
        <v>835</v>
      </c>
      <c r="F15" s="11" t="s">
        <v>836</v>
      </c>
      <c r="H15" s="4" t="s">
        <v>837</v>
      </c>
      <c r="I15" s="4" t="s">
        <v>838</v>
      </c>
      <c r="J15" s="11" t="s">
        <v>839</v>
      </c>
    </row>
    <row r="16" spans="1:10">
      <c r="A16" s="4" t="s">
        <v>840</v>
      </c>
      <c r="B16" s="4" t="s">
        <v>841</v>
      </c>
      <c r="C16" s="4" t="s">
        <v>841</v>
      </c>
      <c r="D16" s="4" t="s">
        <v>841</v>
      </c>
      <c r="E16" s="4" t="s">
        <v>841</v>
      </c>
      <c r="F16" s="4" t="str">
        <f>CHOOSE(COUNTA(B16:E16),"25%","50%","75%","100%")</f>
        <v>100%</v>
      </c>
      <c r="H16" s="4" t="s">
        <v>842</v>
      </c>
      <c r="I16" s="7">
        <v>44141</v>
      </c>
      <c r="J16" s="4" t="str">
        <f>UPPER(H16)&amp;"-"&amp;MONTH(I16)</f>
        <v>COM-11</v>
      </c>
    </row>
    <row r="17" spans="1:10">
      <c r="A17" s="4" t="s">
        <v>843</v>
      </c>
      <c r="B17" s="4"/>
      <c r="C17" s="4" t="s">
        <v>841</v>
      </c>
      <c r="D17" s="4" t="s">
        <v>841</v>
      </c>
      <c r="E17" s="4" t="s">
        <v>841</v>
      </c>
      <c r="F17" s="4" t="str">
        <f t="shared" ref="F17:F24" si="1">CHOOSE(COUNTA(B17:E17),"25%","50%","75%","100%")</f>
        <v>75%</v>
      </c>
      <c r="H17" s="4" t="s">
        <v>844</v>
      </c>
      <c r="I17" s="7">
        <v>44141</v>
      </c>
      <c r="J17" s="4" t="str">
        <f t="shared" ref="J17:J24" si="2">UPPER(H17)&amp;"-"&amp;MONTH(I17)</f>
        <v>MOU-11</v>
      </c>
    </row>
    <row r="18" spans="1:10">
      <c r="A18" s="4" t="s">
        <v>845</v>
      </c>
      <c r="B18" s="4" t="s">
        <v>841</v>
      </c>
      <c r="C18" s="4" t="s">
        <v>841</v>
      </c>
      <c r="D18" s="4" t="s">
        <v>841</v>
      </c>
      <c r="E18" s="4" t="s">
        <v>841</v>
      </c>
      <c r="F18" s="4" t="str">
        <f t="shared" si="1"/>
        <v>100%</v>
      </c>
      <c r="H18" s="4" t="s">
        <v>846</v>
      </c>
      <c r="I18" s="7">
        <v>44141</v>
      </c>
      <c r="J18" s="4" t="str">
        <f t="shared" si="2"/>
        <v>KEY-11</v>
      </c>
    </row>
    <row r="19" spans="1:10">
      <c r="A19" s="4" t="s">
        <v>847</v>
      </c>
      <c r="B19" s="4" t="s">
        <v>841</v>
      </c>
      <c r="C19" s="4"/>
      <c r="D19" s="4" t="s">
        <v>841</v>
      </c>
      <c r="E19" s="4" t="s">
        <v>841</v>
      </c>
      <c r="F19" s="4" t="str">
        <f t="shared" si="1"/>
        <v>75%</v>
      </c>
      <c r="H19" s="4" t="s">
        <v>842</v>
      </c>
      <c r="I19" s="7">
        <v>44170</v>
      </c>
      <c r="J19" s="4" t="str">
        <f t="shared" si="2"/>
        <v>COM-12</v>
      </c>
    </row>
    <row r="20" spans="1:10">
      <c r="A20" s="4" t="s">
        <v>848</v>
      </c>
      <c r="B20" s="4" t="s">
        <v>841</v>
      </c>
      <c r="C20" s="4" t="s">
        <v>841</v>
      </c>
      <c r="D20" s="4"/>
      <c r="E20" s="4" t="s">
        <v>841</v>
      </c>
      <c r="F20" s="4" t="str">
        <f t="shared" si="1"/>
        <v>75%</v>
      </c>
      <c r="H20" s="4" t="s">
        <v>844</v>
      </c>
      <c r="I20" s="7">
        <v>44170</v>
      </c>
      <c r="J20" s="4" t="str">
        <f t="shared" si="2"/>
        <v>MOU-12</v>
      </c>
    </row>
    <row r="21" spans="1:10">
      <c r="A21" s="4" t="s">
        <v>849</v>
      </c>
      <c r="B21" s="4" t="s">
        <v>841</v>
      </c>
      <c r="C21" s="4" t="s">
        <v>841</v>
      </c>
      <c r="D21" s="4" t="s">
        <v>841</v>
      </c>
      <c r="E21" s="4" t="s">
        <v>841</v>
      </c>
      <c r="F21" s="4" t="str">
        <f t="shared" si="1"/>
        <v>100%</v>
      </c>
      <c r="H21" s="4" t="s">
        <v>846</v>
      </c>
      <c r="I21" s="7">
        <v>44170</v>
      </c>
      <c r="J21" s="4" t="str">
        <f t="shared" si="2"/>
        <v>KEY-12</v>
      </c>
    </row>
    <row r="22" spans="1:10">
      <c r="A22" s="4" t="s">
        <v>850</v>
      </c>
      <c r="B22" s="4" t="s">
        <v>841</v>
      </c>
      <c r="C22" s="4" t="s">
        <v>841</v>
      </c>
      <c r="D22" s="4" t="s">
        <v>841</v>
      </c>
      <c r="E22" s="4" t="s">
        <v>841</v>
      </c>
      <c r="F22" s="4" t="str">
        <f t="shared" si="1"/>
        <v>100%</v>
      </c>
      <c r="H22" s="4" t="s">
        <v>842</v>
      </c>
      <c r="I22" s="7">
        <v>44199</v>
      </c>
      <c r="J22" s="4" t="str">
        <f t="shared" si="2"/>
        <v>COM-1</v>
      </c>
    </row>
    <row r="23" spans="1:10">
      <c r="A23" s="4" t="s">
        <v>851</v>
      </c>
      <c r="B23" s="4" t="s">
        <v>841</v>
      </c>
      <c r="C23" s="4"/>
      <c r="D23" s="4" t="s">
        <v>841</v>
      </c>
      <c r="E23" s="4"/>
      <c r="F23" s="4" t="str">
        <f t="shared" si="1"/>
        <v>50%</v>
      </c>
      <c r="H23" s="4" t="s">
        <v>844</v>
      </c>
      <c r="I23" s="7">
        <v>44199</v>
      </c>
      <c r="J23" s="4" t="str">
        <f t="shared" si="2"/>
        <v>MOU-1</v>
      </c>
    </row>
    <row r="24" spans="1:10">
      <c r="A24" s="4" t="s">
        <v>852</v>
      </c>
      <c r="B24" s="4" t="s">
        <v>841</v>
      </c>
      <c r="C24" s="4" t="s">
        <v>841</v>
      </c>
      <c r="D24" s="4" t="s">
        <v>841</v>
      </c>
      <c r="E24" s="4" t="s">
        <v>841</v>
      </c>
      <c r="F24" s="4" t="str">
        <f t="shared" si="1"/>
        <v>100%</v>
      </c>
      <c r="H24" s="4" t="s">
        <v>846</v>
      </c>
      <c r="I24" s="7">
        <v>44199</v>
      </c>
      <c r="J24" s="4" t="str">
        <f t="shared" si="2"/>
        <v>KEY-1</v>
      </c>
    </row>
    <row r="26" spans="1:10">
      <c r="A26" s="2" t="s">
        <v>57</v>
      </c>
      <c r="B26" s="15" t="s">
        <v>853</v>
      </c>
    </row>
    <row r="27" spans="1:10">
      <c r="A27" s="4" t="s">
        <v>854</v>
      </c>
      <c r="B27" s="4" t="s">
        <v>125</v>
      </c>
      <c r="C27" s="4" t="s">
        <v>855</v>
      </c>
      <c r="D27" s="4" t="s">
        <v>856</v>
      </c>
      <c r="E27" s="11" t="s">
        <v>857</v>
      </c>
    </row>
    <row r="28" spans="1:10">
      <c r="A28" s="4" t="s">
        <v>858</v>
      </c>
      <c r="B28" s="4" t="s">
        <v>362</v>
      </c>
      <c r="C28" s="13">
        <v>667000</v>
      </c>
      <c r="D28" s="13">
        <v>20010</v>
      </c>
      <c r="E28" s="4" t="str">
        <f>HLOOKUP(_xlfn.RANK.EQ(C28,$C$28:$C$36),$B$39:$E$40,2)</f>
        <v>브론즈</v>
      </c>
    </row>
    <row r="29" spans="1:10">
      <c r="A29" s="4" t="s">
        <v>859</v>
      </c>
      <c r="B29" s="4" t="s">
        <v>358</v>
      </c>
      <c r="C29" s="13">
        <v>575800</v>
      </c>
      <c r="D29" s="13">
        <v>17274</v>
      </c>
      <c r="E29" s="4" t="str">
        <f t="shared" ref="E29:E36" si="3">HLOOKUP(_xlfn.RANK.EQ(C29,$C$28:$C$36),$B$39:$E$40,2)</f>
        <v>일반</v>
      </c>
    </row>
    <row r="30" spans="1:10">
      <c r="A30" s="4" t="s">
        <v>860</v>
      </c>
      <c r="B30" s="4" t="s">
        <v>362</v>
      </c>
      <c r="C30" s="13">
        <v>768100</v>
      </c>
      <c r="D30" s="13">
        <v>23043</v>
      </c>
      <c r="E30" s="4" t="str">
        <f t="shared" si="3"/>
        <v>브론즈</v>
      </c>
    </row>
    <row r="31" spans="1:10">
      <c r="A31" s="4" t="s">
        <v>861</v>
      </c>
      <c r="B31" s="4" t="s">
        <v>362</v>
      </c>
      <c r="C31" s="13">
        <v>913600</v>
      </c>
      <c r="D31" s="13">
        <v>27408</v>
      </c>
      <c r="E31" s="4" t="str">
        <f t="shared" si="3"/>
        <v>골드</v>
      </c>
    </row>
    <row r="32" spans="1:10">
      <c r="A32" s="4" t="s">
        <v>862</v>
      </c>
      <c r="B32" s="4" t="s">
        <v>362</v>
      </c>
      <c r="C32" s="13">
        <v>866000</v>
      </c>
      <c r="D32" s="13">
        <v>25980</v>
      </c>
      <c r="E32" s="4" t="str">
        <f t="shared" si="3"/>
        <v>실버</v>
      </c>
    </row>
    <row r="33" spans="1:5">
      <c r="A33" s="4" t="s">
        <v>863</v>
      </c>
      <c r="B33" s="4" t="s">
        <v>358</v>
      </c>
      <c r="C33" s="13">
        <v>468200</v>
      </c>
      <c r="D33" s="13">
        <v>14046</v>
      </c>
      <c r="E33" s="4" t="str">
        <f t="shared" si="3"/>
        <v>일반</v>
      </c>
    </row>
    <row r="34" spans="1:5">
      <c r="A34" s="4" t="s">
        <v>864</v>
      </c>
      <c r="B34" s="4" t="s">
        <v>358</v>
      </c>
      <c r="C34" s="13">
        <v>511000</v>
      </c>
      <c r="D34" s="13">
        <v>15330</v>
      </c>
      <c r="E34" s="4" t="str">
        <f t="shared" si="3"/>
        <v>일반</v>
      </c>
    </row>
    <row r="35" spans="1:5">
      <c r="A35" s="4" t="s">
        <v>865</v>
      </c>
      <c r="B35" s="4" t="s">
        <v>362</v>
      </c>
      <c r="C35" s="13">
        <v>978400</v>
      </c>
      <c r="D35" s="13">
        <v>29352</v>
      </c>
      <c r="E35" s="4" t="str">
        <f t="shared" si="3"/>
        <v>골드</v>
      </c>
    </row>
    <row r="36" spans="1:5">
      <c r="A36" s="4" t="s">
        <v>866</v>
      </c>
      <c r="B36" s="4" t="s">
        <v>358</v>
      </c>
      <c r="C36" s="13">
        <v>810000</v>
      </c>
      <c r="D36" s="13">
        <v>24300</v>
      </c>
      <c r="E36" s="4" t="str">
        <f t="shared" si="3"/>
        <v>실버</v>
      </c>
    </row>
    <row r="38" spans="1:5">
      <c r="A38" s="19" t="s">
        <v>867</v>
      </c>
    </row>
    <row r="39" spans="1:5">
      <c r="A39" s="4" t="s">
        <v>495</v>
      </c>
      <c r="B39" s="4">
        <v>1</v>
      </c>
      <c r="C39" s="4">
        <v>3</v>
      </c>
      <c r="D39" s="4">
        <v>5</v>
      </c>
      <c r="E39" s="4">
        <v>7</v>
      </c>
    </row>
    <row r="40" spans="1:5">
      <c r="A40" s="4" t="s">
        <v>138</v>
      </c>
      <c r="B40" s="4" t="s">
        <v>868</v>
      </c>
      <c r="C40" s="4" t="s">
        <v>869</v>
      </c>
      <c r="D40" s="4" t="s">
        <v>870</v>
      </c>
      <c r="E40" s="4" t="s">
        <v>111</v>
      </c>
    </row>
  </sheetData>
  <mergeCells count="1">
    <mergeCell ref="A12:D12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/>
  <dimension ref="A1:K37"/>
  <sheetViews>
    <sheetView topLeftCell="A22" workbookViewId="0">
      <selection activeCell="D28" sqref="D28:D37"/>
    </sheetView>
  </sheetViews>
  <sheetFormatPr defaultRowHeight="17.399999999999999"/>
  <cols>
    <col min="3" max="3" width="11.09765625" bestFit="1" customWidth="1"/>
    <col min="7" max="7" width="9.09765625" bestFit="1" customWidth="1"/>
    <col min="8" max="8" width="11.796875" bestFit="1" customWidth="1"/>
    <col min="9" max="9" width="10.796875" bestFit="1" customWidth="1"/>
    <col min="10" max="10" width="3.59765625" customWidth="1"/>
    <col min="11" max="11" width="11.09765625" bestFit="1" customWidth="1"/>
  </cols>
  <sheetData>
    <row r="1" spans="1:11">
      <c r="A1" s="1" t="s">
        <v>0</v>
      </c>
      <c r="B1" s="15" t="s">
        <v>871</v>
      </c>
      <c r="F1" s="2" t="s">
        <v>1</v>
      </c>
      <c r="G1" s="15" t="s">
        <v>480</v>
      </c>
    </row>
    <row r="2" spans="1:11">
      <c r="A2" s="4" t="s">
        <v>402</v>
      </c>
      <c r="B2" s="4" t="s">
        <v>370</v>
      </c>
      <c r="C2" s="4" t="s">
        <v>532</v>
      </c>
      <c r="D2" s="11" t="s">
        <v>120</v>
      </c>
      <c r="F2" s="4" t="s">
        <v>30</v>
      </c>
      <c r="G2" s="4" t="s">
        <v>32</v>
      </c>
      <c r="H2" s="4" t="s">
        <v>500</v>
      </c>
      <c r="I2" s="4" t="s">
        <v>872</v>
      </c>
    </row>
    <row r="3" spans="1:11">
      <c r="A3" s="4">
        <v>200015</v>
      </c>
      <c r="B3" s="4" t="s">
        <v>873</v>
      </c>
      <c r="C3" s="4">
        <v>2.93</v>
      </c>
      <c r="D3" s="4">
        <f>ROUND(STDEV(C3:C11),2)</f>
        <v>0.54</v>
      </c>
      <c r="F3" s="4" t="s">
        <v>874</v>
      </c>
      <c r="G3" s="13">
        <v>5465</v>
      </c>
      <c r="H3" s="13">
        <v>8197500</v>
      </c>
      <c r="I3" s="13">
        <v>2869125</v>
      </c>
    </row>
    <row r="4" spans="1:11">
      <c r="A4" s="4">
        <v>200057</v>
      </c>
      <c r="B4" s="4" t="s">
        <v>873</v>
      </c>
      <c r="C4" s="4">
        <v>4.05</v>
      </c>
      <c r="F4" s="4" t="s">
        <v>491</v>
      </c>
      <c r="G4" s="13">
        <v>3744</v>
      </c>
      <c r="H4" s="13">
        <v>7488000</v>
      </c>
      <c r="I4" s="13">
        <v>2620800</v>
      </c>
    </row>
    <row r="5" spans="1:11">
      <c r="A5" s="4">
        <v>200099</v>
      </c>
      <c r="B5" s="4" t="s">
        <v>873</v>
      </c>
      <c r="C5" s="4">
        <v>3.19</v>
      </c>
      <c r="F5" s="4" t="s">
        <v>875</v>
      </c>
      <c r="G5" s="13">
        <v>9642</v>
      </c>
      <c r="H5" s="13">
        <v>13016700</v>
      </c>
      <c r="I5" s="13">
        <v>4555845</v>
      </c>
    </row>
    <row r="6" spans="1:11">
      <c r="A6" s="4">
        <v>200274</v>
      </c>
      <c r="B6" s="4" t="s">
        <v>876</v>
      </c>
      <c r="C6" s="4">
        <v>3.94</v>
      </c>
      <c r="F6" s="4" t="s">
        <v>877</v>
      </c>
      <c r="G6" s="13">
        <v>2541</v>
      </c>
      <c r="H6" s="13">
        <v>6352500</v>
      </c>
      <c r="I6" s="13">
        <v>2223375</v>
      </c>
    </row>
    <row r="7" spans="1:11">
      <c r="A7" s="4">
        <v>200396</v>
      </c>
      <c r="B7" s="4" t="s">
        <v>876</v>
      </c>
      <c r="C7" s="4">
        <v>4.16</v>
      </c>
      <c r="F7" s="4" t="s">
        <v>878</v>
      </c>
      <c r="G7" s="13">
        <v>8756</v>
      </c>
      <c r="H7" s="13">
        <v>20138800</v>
      </c>
      <c r="I7" s="13">
        <v>7048580</v>
      </c>
    </row>
    <row r="8" spans="1:11">
      <c r="A8" s="4">
        <v>200514</v>
      </c>
      <c r="B8" s="4" t="s">
        <v>876</v>
      </c>
      <c r="C8" s="4">
        <v>3.32</v>
      </c>
      <c r="F8" s="4" t="s">
        <v>879</v>
      </c>
      <c r="G8" s="13">
        <v>5416</v>
      </c>
      <c r="H8" s="13">
        <v>10019600</v>
      </c>
      <c r="I8" s="13">
        <v>3506860</v>
      </c>
    </row>
    <row r="9" spans="1:11">
      <c r="A9" s="4">
        <v>200541</v>
      </c>
      <c r="B9" s="4" t="s">
        <v>880</v>
      </c>
      <c r="C9" s="4">
        <v>4.21</v>
      </c>
      <c r="F9" s="4" t="s">
        <v>881</v>
      </c>
      <c r="G9" s="13">
        <v>8553</v>
      </c>
      <c r="H9" s="13">
        <v>12145260</v>
      </c>
      <c r="I9" s="13">
        <v>4250841</v>
      </c>
    </row>
    <row r="10" spans="1:11">
      <c r="A10" s="4">
        <v>200632</v>
      </c>
      <c r="B10" s="4" t="s">
        <v>880</v>
      </c>
      <c r="C10" s="4">
        <v>2.78</v>
      </c>
      <c r="F10" s="4" t="s">
        <v>882</v>
      </c>
      <c r="G10" s="13">
        <v>4789</v>
      </c>
      <c r="H10" s="13">
        <v>5267900</v>
      </c>
      <c r="I10" s="13">
        <v>1843765</v>
      </c>
    </row>
    <row r="11" spans="1:11">
      <c r="A11" s="4">
        <v>200967</v>
      </c>
      <c r="B11" s="4" t="s">
        <v>880</v>
      </c>
      <c r="C11" s="4">
        <v>3.55</v>
      </c>
      <c r="F11" s="36" t="s">
        <v>883</v>
      </c>
      <c r="G11" s="37"/>
      <c r="H11" s="38"/>
      <c r="I11" s="13">
        <f>LARGE(I3:I10,2)-SMALL(I3:I10,3)</f>
        <v>1935045</v>
      </c>
    </row>
    <row r="13" spans="1:11">
      <c r="A13" s="2" t="s">
        <v>100</v>
      </c>
      <c r="B13" s="15" t="s">
        <v>884</v>
      </c>
      <c r="G13" s="2" t="s">
        <v>98</v>
      </c>
      <c r="H13" s="15" t="s">
        <v>885</v>
      </c>
    </row>
    <row r="14" spans="1:11">
      <c r="A14" s="4" t="s">
        <v>481</v>
      </c>
      <c r="B14" s="4" t="s">
        <v>482</v>
      </c>
      <c r="C14" s="4" t="s">
        <v>483</v>
      </c>
      <c r="D14" s="4" t="s">
        <v>139</v>
      </c>
      <c r="E14" s="11" t="s">
        <v>298</v>
      </c>
      <c r="G14" s="4" t="s">
        <v>324</v>
      </c>
      <c r="H14" s="4" t="s">
        <v>886</v>
      </c>
      <c r="I14" s="11" t="s">
        <v>887</v>
      </c>
      <c r="K14" s="4" t="s">
        <v>888</v>
      </c>
    </row>
    <row r="15" spans="1:11">
      <c r="A15" s="4" t="s">
        <v>889</v>
      </c>
      <c r="B15" s="4">
        <v>64</v>
      </c>
      <c r="C15" s="4">
        <v>70</v>
      </c>
      <c r="D15" s="4">
        <f>SUM(B15:C15)</f>
        <v>134</v>
      </c>
      <c r="E15" s="4" t="str">
        <f>IF(AND(B15&gt;=40,C15&gt;=40,AVERAGE(B15:C15)&gt;=60),"합격","불합격")</f>
        <v>합격</v>
      </c>
      <c r="G15" s="4" t="s">
        <v>890</v>
      </c>
      <c r="H15" s="7">
        <v>44214</v>
      </c>
      <c r="I15" s="4" t="str">
        <f>_xlfn.DAYS(H15,$K$15)&amp;"일"</f>
        <v>14일</v>
      </c>
      <c r="K15" s="7">
        <v>44200</v>
      </c>
    </row>
    <row r="16" spans="1:11">
      <c r="A16" s="4" t="s">
        <v>891</v>
      </c>
      <c r="B16" s="4">
        <v>95</v>
      </c>
      <c r="C16" s="4">
        <v>91</v>
      </c>
      <c r="D16" s="4">
        <f t="shared" ref="D16:D24" si="0">SUM(B16:C16)</f>
        <v>186</v>
      </c>
      <c r="E16" s="4" t="str">
        <f t="shared" ref="E16:E24" si="1">IF(AND(B16&gt;=40,C16&gt;=40,AVERAGE(B16:C16)&gt;=60),"합격","불합격")</f>
        <v>합격</v>
      </c>
      <c r="G16" s="4" t="s">
        <v>892</v>
      </c>
      <c r="H16" s="7">
        <v>44214</v>
      </c>
      <c r="I16" s="4" t="str">
        <f t="shared" ref="I16:I24" si="2">_xlfn.DAYS(H16,$K$15)&amp;"일"</f>
        <v>14일</v>
      </c>
    </row>
    <row r="17" spans="1:9">
      <c r="A17" s="4" t="s">
        <v>893</v>
      </c>
      <c r="B17" s="4">
        <v>37</v>
      </c>
      <c r="C17" s="4">
        <v>61</v>
      </c>
      <c r="D17" s="4">
        <f t="shared" si="0"/>
        <v>98</v>
      </c>
      <c r="E17" s="4" t="str">
        <f t="shared" si="1"/>
        <v>불합격</v>
      </c>
      <c r="G17" s="4" t="s">
        <v>894</v>
      </c>
      <c r="H17" s="7">
        <v>44216</v>
      </c>
      <c r="I17" s="4" t="str">
        <f t="shared" si="2"/>
        <v>16일</v>
      </c>
    </row>
    <row r="18" spans="1:9">
      <c r="A18" s="4" t="s">
        <v>895</v>
      </c>
      <c r="B18" s="4">
        <v>88</v>
      </c>
      <c r="C18" s="4">
        <v>93</v>
      </c>
      <c r="D18" s="4">
        <f t="shared" si="0"/>
        <v>181</v>
      </c>
      <c r="E18" s="4" t="str">
        <f t="shared" si="1"/>
        <v>합격</v>
      </c>
      <c r="G18" s="4" t="s">
        <v>896</v>
      </c>
      <c r="H18" s="7">
        <v>44216</v>
      </c>
      <c r="I18" s="4" t="str">
        <f t="shared" si="2"/>
        <v>16일</v>
      </c>
    </row>
    <row r="19" spans="1:9">
      <c r="A19" s="4" t="s">
        <v>897</v>
      </c>
      <c r="B19" s="4">
        <v>90</v>
      </c>
      <c r="C19" s="4">
        <v>94</v>
      </c>
      <c r="D19" s="4">
        <f t="shared" si="0"/>
        <v>184</v>
      </c>
      <c r="E19" s="4" t="str">
        <f t="shared" si="1"/>
        <v>합격</v>
      </c>
      <c r="G19" s="4" t="s">
        <v>898</v>
      </c>
      <c r="H19" s="7">
        <v>44216</v>
      </c>
      <c r="I19" s="4" t="str">
        <f t="shared" si="2"/>
        <v>16일</v>
      </c>
    </row>
    <row r="20" spans="1:9">
      <c r="A20" s="4" t="s">
        <v>899</v>
      </c>
      <c r="B20" s="4">
        <v>57</v>
      </c>
      <c r="C20" s="4">
        <v>59</v>
      </c>
      <c r="D20" s="4">
        <f t="shared" si="0"/>
        <v>116</v>
      </c>
      <c r="E20" s="4" t="str">
        <f t="shared" si="1"/>
        <v>불합격</v>
      </c>
      <c r="G20" s="4" t="s">
        <v>900</v>
      </c>
      <c r="H20" s="7">
        <v>44221</v>
      </c>
      <c r="I20" s="4" t="str">
        <f t="shared" si="2"/>
        <v>21일</v>
      </c>
    </row>
    <row r="21" spans="1:9">
      <c r="A21" s="4" t="s">
        <v>901</v>
      </c>
      <c r="B21" s="4">
        <v>77</v>
      </c>
      <c r="C21" s="4">
        <v>69</v>
      </c>
      <c r="D21" s="4">
        <f t="shared" si="0"/>
        <v>146</v>
      </c>
      <c r="E21" s="4" t="str">
        <f t="shared" si="1"/>
        <v>합격</v>
      </c>
      <c r="G21" s="4" t="s">
        <v>902</v>
      </c>
      <c r="H21" s="7">
        <v>44221</v>
      </c>
      <c r="I21" s="4" t="str">
        <f t="shared" si="2"/>
        <v>21일</v>
      </c>
    </row>
    <row r="22" spans="1:9">
      <c r="A22" s="4" t="s">
        <v>903</v>
      </c>
      <c r="B22" s="4">
        <v>55</v>
      </c>
      <c r="C22" s="4">
        <v>39</v>
      </c>
      <c r="D22" s="4">
        <f t="shared" si="0"/>
        <v>94</v>
      </c>
      <c r="E22" s="4" t="str">
        <f t="shared" si="1"/>
        <v>불합격</v>
      </c>
      <c r="G22" s="4" t="s">
        <v>904</v>
      </c>
      <c r="H22" s="7">
        <v>44221</v>
      </c>
      <c r="I22" s="4" t="str">
        <f t="shared" si="2"/>
        <v>21일</v>
      </c>
    </row>
    <row r="23" spans="1:9">
      <c r="A23" s="4" t="s">
        <v>905</v>
      </c>
      <c r="B23" s="4">
        <v>49</v>
      </c>
      <c r="C23" s="4">
        <v>44</v>
      </c>
      <c r="D23" s="4">
        <f t="shared" si="0"/>
        <v>93</v>
      </c>
      <c r="E23" s="4" t="str">
        <f t="shared" si="1"/>
        <v>불합격</v>
      </c>
      <c r="G23" s="4" t="s">
        <v>906</v>
      </c>
      <c r="H23" s="7">
        <v>44224</v>
      </c>
      <c r="I23" s="4" t="str">
        <f t="shared" si="2"/>
        <v>24일</v>
      </c>
    </row>
    <row r="24" spans="1:9">
      <c r="A24" s="4" t="s">
        <v>907</v>
      </c>
      <c r="B24" s="4">
        <v>84</v>
      </c>
      <c r="C24" s="4">
        <v>76</v>
      </c>
      <c r="D24" s="4">
        <f t="shared" si="0"/>
        <v>160</v>
      </c>
      <c r="E24" s="4" t="str">
        <f t="shared" si="1"/>
        <v>합격</v>
      </c>
      <c r="G24" s="4" t="s">
        <v>908</v>
      </c>
      <c r="H24" s="7">
        <v>44224</v>
      </c>
      <c r="I24" s="4" t="str">
        <f t="shared" si="2"/>
        <v>24일</v>
      </c>
    </row>
    <row r="26" spans="1:9">
      <c r="A26" s="2" t="s">
        <v>57</v>
      </c>
      <c r="B26" s="15" t="s">
        <v>909</v>
      </c>
    </row>
    <row r="27" spans="1:9">
      <c r="A27" s="4" t="s">
        <v>910</v>
      </c>
      <c r="B27" s="4" t="s">
        <v>493</v>
      </c>
      <c r="C27" s="4" t="s">
        <v>911</v>
      </c>
      <c r="D27" s="11" t="s">
        <v>912</v>
      </c>
    </row>
    <row r="28" spans="1:9">
      <c r="A28" s="4" t="s">
        <v>913</v>
      </c>
      <c r="B28" s="4">
        <v>245</v>
      </c>
      <c r="C28" s="7">
        <v>44215</v>
      </c>
      <c r="D28" s="4" t="str">
        <f>CHOOSE(WEEKDAY(C28),"일요일","월요일","화요일","수요일","목요일","금요일","토요일")</f>
        <v>화요일</v>
      </c>
    </row>
    <row r="29" spans="1:9">
      <c r="A29" s="4" t="s">
        <v>914</v>
      </c>
      <c r="B29" s="4">
        <v>331</v>
      </c>
      <c r="C29" s="7">
        <v>44206</v>
      </c>
      <c r="D29" s="4" t="str">
        <f t="shared" ref="D29:D37" si="3">CHOOSE(WEEKDAY(C29),"일요일","월요일","화요일","수요일","목요일","금요일","토요일")</f>
        <v>일요일</v>
      </c>
    </row>
    <row r="30" spans="1:9">
      <c r="A30" s="4" t="s">
        <v>915</v>
      </c>
      <c r="B30" s="4">
        <v>186</v>
      </c>
      <c r="C30" s="7">
        <v>44206</v>
      </c>
      <c r="D30" s="4" t="str">
        <f t="shared" si="3"/>
        <v>일요일</v>
      </c>
    </row>
    <row r="31" spans="1:9">
      <c r="A31" s="4" t="s">
        <v>916</v>
      </c>
      <c r="B31" s="4">
        <v>324</v>
      </c>
      <c r="C31" s="7">
        <v>44211</v>
      </c>
      <c r="D31" s="4" t="str">
        <f t="shared" si="3"/>
        <v>금요일</v>
      </c>
    </row>
    <row r="32" spans="1:9">
      <c r="A32" s="4" t="s">
        <v>917</v>
      </c>
      <c r="B32" s="4">
        <v>268</v>
      </c>
      <c r="C32" s="7">
        <v>44212</v>
      </c>
      <c r="D32" s="4" t="str">
        <f t="shared" si="3"/>
        <v>토요일</v>
      </c>
    </row>
    <row r="33" spans="1:4">
      <c r="A33" s="4" t="s">
        <v>918</v>
      </c>
      <c r="B33" s="4">
        <v>222</v>
      </c>
      <c r="C33" s="7">
        <v>44212</v>
      </c>
      <c r="D33" s="4" t="str">
        <f t="shared" si="3"/>
        <v>토요일</v>
      </c>
    </row>
    <row r="34" spans="1:4">
      <c r="A34" s="4" t="s">
        <v>919</v>
      </c>
      <c r="B34" s="4">
        <v>128</v>
      </c>
      <c r="C34" s="7">
        <v>44213</v>
      </c>
      <c r="D34" s="4" t="str">
        <f t="shared" si="3"/>
        <v>일요일</v>
      </c>
    </row>
    <row r="35" spans="1:4">
      <c r="A35" s="4" t="s">
        <v>920</v>
      </c>
      <c r="B35" s="4">
        <v>268</v>
      </c>
      <c r="C35" s="7">
        <v>44218</v>
      </c>
      <c r="D35" s="4" t="str">
        <f t="shared" si="3"/>
        <v>금요일</v>
      </c>
    </row>
    <row r="36" spans="1:4">
      <c r="A36" s="4" t="s">
        <v>921</v>
      </c>
      <c r="B36" s="4">
        <v>310</v>
      </c>
      <c r="C36" s="7">
        <v>44219</v>
      </c>
      <c r="D36" s="4" t="str">
        <f t="shared" si="3"/>
        <v>토요일</v>
      </c>
    </row>
    <row r="37" spans="1:4">
      <c r="A37" s="4" t="s">
        <v>922</v>
      </c>
      <c r="B37" s="4">
        <v>139</v>
      </c>
      <c r="C37" s="7">
        <v>44219</v>
      </c>
      <c r="D37" s="4" t="str">
        <f t="shared" si="3"/>
        <v>토요일</v>
      </c>
    </row>
  </sheetData>
  <mergeCells count="1">
    <mergeCell ref="F11:H1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7"/>
  <sheetViews>
    <sheetView topLeftCell="A22" workbookViewId="0">
      <selection activeCell="K25" sqref="K25:K33"/>
    </sheetView>
  </sheetViews>
  <sheetFormatPr defaultRowHeight="17.399999999999999"/>
  <cols>
    <col min="1" max="1" width="13" bestFit="1" customWidth="1"/>
    <col min="3" max="3" width="14.09765625" bestFit="1" customWidth="1"/>
    <col min="4" max="4" width="10.796875" bestFit="1" customWidth="1"/>
    <col min="7" max="7" width="9.796875" bestFit="1" customWidth="1"/>
    <col min="8" max="8" width="13.19921875" bestFit="1" customWidth="1"/>
    <col min="9" max="9" width="16.09765625" bestFit="1" customWidth="1"/>
    <col min="10" max="10" width="9.296875" bestFit="1" customWidth="1"/>
  </cols>
  <sheetData>
    <row r="1" spans="1:10">
      <c r="A1" s="1" t="s">
        <v>923</v>
      </c>
      <c r="B1" s="15" t="s">
        <v>924</v>
      </c>
      <c r="F1" s="2" t="s">
        <v>925</v>
      </c>
      <c r="G1" s="15" t="s">
        <v>926</v>
      </c>
    </row>
    <row r="2" spans="1:10">
      <c r="A2" s="4" t="s">
        <v>927</v>
      </c>
      <c r="B2" s="4" t="s">
        <v>928</v>
      </c>
      <c r="C2" s="4" t="s">
        <v>490</v>
      </c>
      <c r="D2" s="11" t="s">
        <v>929</v>
      </c>
      <c r="F2" s="4" t="s">
        <v>930</v>
      </c>
      <c r="G2" s="4" t="s">
        <v>931</v>
      </c>
      <c r="H2" s="4" t="s">
        <v>932</v>
      </c>
      <c r="I2" s="11" t="s">
        <v>933</v>
      </c>
    </row>
    <row r="3" spans="1:10">
      <c r="A3" s="4" t="s">
        <v>934</v>
      </c>
      <c r="B3" s="4" t="s">
        <v>935</v>
      </c>
      <c r="C3" s="4" t="s">
        <v>936</v>
      </c>
      <c r="D3" s="4" t="str">
        <f>IFERROR(CHOOSE(MID(C3,8,1),"남","여","남","여"),"")</f>
        <v>여</v>
      </c>
      <c r="F3" s="4" t="s">
        <v>937</v>
      </c>
      <c r="G3" s="4">
        <v>1.73</v>
      </c>
      <c r="H3" s="4">
        <v>70</v>
      </c>
      <c r="I3" s="4" t="str">
        <f>IF(H3/POWER(G3,2)&lt;20,"저체중",IF(H3/POWER(G3,2)&lt;25,"정상","비만"))</f>
        <v>정상</v>
      </c>
    </row>
    <row r="4" spans="1:10">
      <c r="A4" s="4" t="s">
        <v>939</v>
      </c>
      <c r="B4" s="4" t="s">
        <v>940</v>
      </c>
      <c r="C4" s="4" t="s">
        <v>941</v>
      </c>
      <c r="D4" s="4" t="str">
        <f t="shared" ref="D4:D11" si="0">IFERROR(CHOOSE(MID(C4,8,1),"남","여","남","여"),"")</f>
        <v>남</v>
      </c>
      <c r="F4" s="4" t="s">
        <v>942</v>
      </c>
      <c r="G4" s="4">
        <v>1.68</v>
      </c>
      <c r="H4" s="4">
        <v>53</v>
      </c>
      <c r="I4" s="4" t="str">
        <f t="shared" ref="I4:I10" si="1">IF(H4/POWER(G4,2)&lt;20,"저체중",IF(H4/POWER(G4,2)&lt;25,"정상","비만"))</f>
        <v>저체중</v>
      </c>
    </row>
    <row r="5" spans="1:10">
      <c r="A5" s="4" t="s">
        <v>939</v>
      </c>
      <c r="B5" s="4" t="s">
        <v>943</v>
      </c>
      <c r="C5" s="4" t="s">
        <v>944</v>
      </c>
      <c r="D5" s="4" t="str">
        <f t="shared" si="0"/>
        <v>여</v>
      </c>
      <c r="F5" s="4" t="s">
        <v>945</v>
      </c>
      <c r="G5" s="4">
        <v>1.86</v>
      </c>
      <c r="H5" s="4">
        <v>71</v>
      </c>
      <c r="I5" s="4" t="str">
        <f t="shared" si="1"/>
        <v>정상</v>
      </c>
    </row>
    <row r="6" spans="1:10">
      <c r="A6" s="4" t="s">
        <v>946</v>
      </c>
      <c r="B6" s="4" t="s">
        <v>947</v>
      </c>
      <c r="C6" s="4" t="s">
        <v>948</v>
      </c>
      <c r="D6" s="4" t="str">
        <f t="shared" si="0"/>
        <v/>
      </c>
      <c r="F6" s="4" t="s">
        <v>949</v>
      </c>
      <c r="G6" s="4">
        <v>1.61</v>
      </c>
      <c r="H6" s="4">
        <v>65</v>
      </c>
      <c r="I6" s="4" t="str">
        <f t="shared" si="1"/>
        <v>비만</v>
      </c>
    </row>
    <row r="7" spans="1:10">
      <c r="A7" s="4" t="s">
        <v>946</v>
      </c>
      <c r="B7" s="4" t="s">
        <v>950</v>
      </c>
      <c r="C7" s="4" t="s">
        <v>951</v>
      </c>
      <c r="D7" s="4" t="str">
        <f t="shared" si="0"/>
        <v>여</v>
      </c>
      <c r="F7" s="4" t="s">
        <v>952</v>
      </c>
      <c r="G7" s="4">
        <v>1.75</v>
      </c>
      <c r="H7" s="4">
        <v>71</v>
      </c>
      <c r="I7" s="4" t="str">
        <f t="shared" si="1"/>
        <v>정상</v>
      </c>
    </row>
    <row r="8" spans="1:10">
      <c r="A8" s="4" t="s">
        <v>938</v>
      </c>
      <c r="B8" s="4" t="s">
        <v>953</v>
      </c>
      <c r="C8" s="4" t="s">
        <v>954</v>
      </c>
      <c r="D8" s="4" t="str">
        <f t="shared" si="0"/>
        <v>남</v>
      </c>
      <c r="F8" s="4" t="s">
        <v>955</v>
      </c>
      <c r="G8" s="4">
        <v>1.64</v>
      </c>
      <c r="H8" s="4">
        <v>60</v>
      </c>
      <c r="I8" s="4" t="str">
        <f t="shared" si="1"/>
        <v>정상</v>
      </c>
    </row>
    <row r="9" spans="1:10">
      <c r="A9" s="4" t="s">
        <v>946</v>
      </c>
      <c r="B9" s="4" t="s">
        <v>956</v>
      </c>
      <c r="C9" s="4" t="s">
        <v>957</v>
      </c>
      <c r="D9" s="4" t="str">
        <f t="shared" si="0"/>
        <v>남</v>
      </c>
      <c r="F9" s="4" t="s">
        <v>958</v>
      </c>
      <c r="G9" s="4">
        <v>1.57</v>
      </c>
      <c r="H9" s="4">
        <v>62</v>
      </c>
      <c r="I9" s="4" t="str">
        <f t="shared" si="1"/>
        <v>비만</v>
      </c>
    </row>
    <row r="10" spans="1:10">
      <c r="A10" s="4" t="s">
        <v>939</v>
      </c>
      <c r="B10" s="4" t="s">
        <v>959</v>
      </c>
      <c r="C10" s="4" t="s">
        <v>960</v>
      </c>
      <c r="D10" s="4" t="str">
        <f t="shared" si="0"/>
        <v>여</v>
      </c>
      <c r="F10" s="4" t="s">
        <v>961</v>
      </c>
      <c r="G10" s="4">
        <v>1.82</v>
      </c>
      <c r="H10" s="4">
        <v>65</v>
      </c>
      <c r="I10" s="4" t="str">
        <f t="shared" si="1"/>
        <v>저체중</v>
      </c>
    </row>
    <row r="11" spans="1:10">
      <c r="D11" s="4"/>
    </row>
    <row r="12" spans="1:10">
      <c r="A12" s="2" t="s">
        <v>962</v>
      </c>
      <c r="B12" s="15" t="s">
        <v>963</v>
      </c>
      <c r="F12" s="23" t="s">
        <v>964</v>
      </c>
    </row>
    <row r="13" spans="1:10">
      <c r="A13" s="4" t="s">
        <v>965</v>
      </c>
      <c r="B13" s="4" t="s">
        <v>966</v>
      </c>
      <c r="C13" s="4" t="s">
        <v>967</v>
      </c>
      <c r="D13" s="11" t="s">
        <v>968</v>
      </c>
      <c r="F13" s="4" t="s">
        <v>969</v>
      </c>
      <c r="G13" s="4" t="s">
        <v>970</v>
      </c>
      <c r="H13" s="4" t="s">
        <v>971</v>
      </c>
      <c r="I13" s="4" t="s">
        <v>972</v>
      </c>
      <c r="J13" s="4" t="s">
        <v>973</v>
      </c>
    </row>
    <row r="14" spans="1:10">
      <c r="A14" s="4" t="s">
        <v>974</v>
      </c>
      <c r="B14" s="4" t="s">
        <v>975</v>
      </c>
      <c r="C14" s="4">
        <v>8</v>
      </c>
      <c r="D14" s="13">
        <f>C14*HLOOKUP(A14&amp;RIGHT(B14,1),$G$13:$J$15,3,FALSE)</f>
        <v>6400000</v>
      </c>
      <c r="F14" s="4" t="s">
        <v>976</v>
      </c>
      <c r="G14" s="13">
        <v>700000</v>
      </c>
      <c r="H14" s="13">
        <v>500000</v>
      </c>
      <c r="I14" s="13">
        <v>850000</v>
      </c>
      <c r="J14" s="13">
        <v>600000</v>
      </c>
    </row>
    <row r="15" spans="1:10">
      <c r="A15" s="4" t="s">
        <v>977</v>
      </c>
      <c r="B15" s="4" t="s">
        <v>978</v>
      </c>
      <c r="C15" s="4">
        <v>7</v>
      </c>
      <c r="D15" s="13">
        <f t="shared" ref="D15:D21" si="2">C15*HLOOKUP(A15&amp;RIGHT(B15,1),$G$13:$J$15,3,FALSE)</f>
        <v>6440000</v>
      </c>
      <c r="F15" s="4" t="s">
        <v>979</v>
      </c>
      <c r="G15" s="13">
        <v>920000</v>
      </c>
      <c r="H15" s="13">
        <v>650000</v>
      </c>
      <c r="I15" s="13">
        <v>1200000</v>
      </c>
      <c r="J15" s="13">
        <v>800000</v>
      </c>
    </row>
    <row r="16" spans="1:10">
      <c r="A16" s="4" t="s">
        <v>974</v>
      </c>
      <c r="B16" s="4" t="s">
        <v>980</v>
      </c>
      <c r="C16" s="4">
        <v>5</v>
      </c>
      <c r="D16" s="13">
        <f t="shared" si="2"/>
        <v>4000000</v>
      </c>
      <c r="F16" s="19"/>
      <c r="G16" s="19"/>
      <c r="H16" s="19"/>
      <c r="I16" s="19"/>
      <c r="J16" s="19"/>
    </row>
    <row r="17" spans="1:11">
      <c r="A17" s="4" t="s">
        <v>981</v>
      </c>
      <c r="B17" s="4" t="s">
        <v>975</v>
      </c>
      <c r="C17" s="4">
        <v>9</v>
      </c>
      <c r="D17" s="13">
        <f t="shared" si="2"/>
        <v>5850000</v>
      </c>
      <c r="F17" s="19"/>
      <c r="G17" s="19"/>
      <c r="H17" s="19"/>
      <c r="I17" s="19"/>
      <c r="J17" s="19"/>
    </row>
    <row r="18" spans="1:11">
      <c r="A18" s="4" t="s">
        <v>982</v>
      </c>
      <c r="B18" s="4" t="s">
        <v>983</v>
      </c>
      <c r="C18" s="4">
        <v>4</v>
      </c>
      <c r="D18" s="13">
        <f t="shared" si="2"/>
        <v>4800000</v>
      </c>
      <c r="F18" s="19"/>
      <c r="G18" s="19"/>
      <c r="H18" s="19"/>
      <c r="I18" s="19"/>
      <c r="J18" s="19"/>
    </row>
    <row r="19" spans="1:11">
      <c r="A19" s="4" t="s">
        <v>984</v>
      </c>
      <c r="B19" s="4" t="s">
        <v>985</v>
      </c>
      <c r="C19" s="4">
        <v>8</v>
      </c>
      <c r="D19" s="13">
        <f t="shared" si="2"/>
        <v>7360000</v>
      </c>
    </row>
    <row r="20" spans="1:11">
      <c r="A20" s="4" t="s">
        <v>977</v>
      </c>
      <c r="B20" s="4" t="s">
        <v>980</v>
      </c>
      <c r="C20" s="4">
        <v>6</v>
      </c>
      <c r="D20" s="13">
        <f t="shared" si="2"/>
        <v>3900000</v>
      </c>
    </row>
    <row r="21" spans="1:11">
      <c r="A21" s="4" t="s">
        <v>982</v>
      </c>
      <c r="B21" s="4" t="s">
        <v>983</v>
      </c>
      <c r="C21" s="4">
        <v>5</v>
      </c>
      <c r="D21" s="13">
        <f t="shared" si="2"/>
        <v>6000000</v>
      </c>
    </row>
    <row r="23" spans="1:11">
      <c r="A23" s="2" t="s">
        <v>986</v>
      </c>
      <c r="B23" s="15" t="s">
        <v>987</v>
      </c>
      <c r="G23" s="2" t="s">
        <v>486</v>
      </c>
      <c r="H23" s="15" t="s">
        <v>988</v>
      </c>
    </row>
    <row r="24" spans="1:11">
      <c r="A24" s="4" t="s">
        <v>989</v>
      </c>
      <c r="B24" s="4" t="s">
        <v>930</v>
      </c>
      <c r="C24" s="4" t="s">
        <v>990</v>
      </c>
      <c r="D24" s="4" t="s">
        <v>991</v>
      </c>
      <c r="E24" s="4" t="s">
        <v>992</v>
      </c>
      <c r="G24" s="4" t="s">
        <v>993</v>
      </c>
      <c r="H24" s="4" t="s">
        <v>994</v>
      </c>
      <c r="I24" s="4" t="s">
        <v>995</v>
      </c>
      <c r="J24" s="4" t="s">
        <v>996</v>
      </c>
      <c r="K24" s="11" t="s">
        <v>997</v>
      </c>
    </row>
    <row r="25" spans="1:11">
      <c r="A25" s="4" t="s">
        <v>998</v>
      </c>
      <c r="B25" s="4" t="s">
        <v>999</v>
      </c>
      <c r="C25" s="4">
        <v>90</v>
      </c>
      <c r="D25" s="4">
        <v>95</v>
      </c>
      <c r="E25" s="4">
        <v>92</v>
      </c>
      <c r="G25" s="24">
        <v>44206</v>
      </c>
      <c r="H25" s="4" t="s">
        <v>1000</v>
      </c>
      <c r="I25" s="4" t="s">
        <v>1001</v>
      </c>
      <c r="J25" s="13">
        <v>12000</v>
      </c>
      <c r="K25" s="4" t="str">
        <f>IF(SUM($J$25:J25)&gt;=70000,"골드",IF(SUM($J$25:J25)&gt;=50000,"실버",""))</f>
        <v/>
      </c>
    </row>
    <row r="26" spans="1:11">
      <c r="A26" s="4" t="s">
        <v>1002</v>
      </c>
      <c r="B26" s="4" t="s">
        <v>1003</v>
      </c>
      <c r="C26" s="4">
        <v>80</v>
      </c>
      <c r="D26" s="4">
        <v>85</v>
      </c>
      <c r="E26" s="4">
        <v>90</v>
      </c>
      <c r="G26" s="24">
        <v>44208</v>
      </c>
      <c r="H26" s="4" t="s">
        <v>1004</v>
      </c>
      <c r="I26" s="4" t="s">
        <v>1005</v>
      </c>
      <c r="J26" s="13">
        <v>11000</v>
      </c>
      <c r="K26" s="4" t="str">
        <f>IF(SUM($J$25:J26)&gt;=70000,"골드",IF(SUM($J$25:J26)&gt;=50000,"실버",""))</f>
        <v/>
      </c>
    </row>
    <row r="27" spans="1:11">
      <c r="A27" s="4" t="s">
        <v>1006</v>
      </c>
      <c r="B27" s="4" t="s">
        <v>1007</v>
      </c>
      <c r="C27" s="4">
        <v>84</v>
      </c>
      <c r="D27" s="4">
        <v>91</v>
      </c>
      <c r="E27" s="4">
        <v>86</v>
      </c>
      <c r="G27" s="24">
        <v>44232</v>
      </c>
      <c r="H27" s="4" t="s">
        <v>1008</v>
      </c>
      <c r="I27" s="4" t="s">
        <v>1001</v>
      </c>
      <c r="J27" s="13">
        <v>12000</v>
      </c>
      <c r="K27" s="4" t="str">
        <f>IF(SUM($J$25:J27)&gt;=70000,"골드",IF(SUM($J$25:J27)&gt;=50000,"실버",""))</f>
        <v/>
      </c>
    </row>
    <row r="28" spans="1:11">
      <c r="A28" s="4" t="s">
        <v>1009</v>
      </c>
      <c r="B28" s="4" t="s">
        <v>1010</v>
      </c>
      <c r="C28" s="4">
        <v>88</v>
      </c>
      <c r="D28" s="4">
        <v>83</v>
      </c>
      <c r="E28" s="4">
        <v>82</v>
      </c>
      <c r="G28" s="24">
        <v>44240</v>
      </c>
      <c r="H28" s="4" t="s">
        <v>1011</v>
      </c>
      <c r="I28" s="4" t="s">
        <v>1005</v>
      </c>
      <c r="J28" s="13">
        <v>11000</v>
      </c>
      <c r="K28" s="4" t="str">
        <f>IF(SUM($J$25:J28)&gt;=70000,"골드",IF(SUM($J$25:J28)&gt;=50000,"실버",""))</f>
        <v/>
      </c>
    </row>
    <row r="29" spans="1:11">
      <c r="A29" s="4" t="s">
        <v>1002</v>
      </c>
      <c r="B29" s="4" t="s">
        <v>1012</v>
      </c>
      <c r="C29" s="4">
        <v>92</v>
      </c>
      <c r="D29" s="4">
        <v>94</v>
      </c>
      <c r="E29" s="4">
        <v>95</v>
      </c>
      <c r="G29" s="24">
        <v>44267</v>
      </c>
      <c r="H29" s="4" t="s">
        <v>1013</v>
      </c>
      <c r="I29" s="4" t="s">
        <v>1001</v>
      </c>
      <c r="J29" s="13">
        <v>12000</v>
      </c>
      <c r="K29" s="4" t="str">
        <f>IF(SUM($J$25:J29)&gt;=70000,"골드",IF(SUM($J$25:J29)&gt;=50000,"실버",""))</f>
        <v>실버</v>
      </c>
    </row>
    <row r="30" spans="1:11">
      <c r="A30" s="4" t="s">
        <v>1014</v>
      </c>
      <c r="B30" s="4" t="s">
        <v>1015</v>
      </c>
      <c r="C30" s="4">
        <v>79</v>
      </c>
      <c r="D30" s="4">
        <v>72</v>
      </c>
      <c r="E30" s="4">
        <v>73</v>
      </c>
      <c r="G30" s="24">
        <v>44281</v>
      </c>
      <c r="H30" s="4" t="s">
        <v>1016</v>
      </c>
      <c r="I30" s="4" t="s">
        <v>1001</v>
      </c>
      <c r="J30" s="13">
        <v>12000</v>
      </c>
      <c r="K30" s="4" t="str">
        <f>IF(SUM($J$25:J30)&gt;=70000,"골드",IF(SUM($J$25:J30)&gt;=50000,"실버",""))</f>
        <v>골드</v>
      </c>
    </row>
    <row r="31" spans="1:11">
      <c r="A31" s="4" t="s">
        <v>1014</v>
      </c>
      <c r="B31" s="4" t="s">
        <v>1017</v>
      </c>
      <c r="C31" s="4">
        <v>90</v>
      </c>
      <c r="D31" s="4">
        <v>83</v>
      </c>
      <c r="E31" s="4">
        <v>86</v>
      </c>
      <c r="G31" s="24">
        <v>44299</v>
      </c>
      <c r="H31" s="4" t="s">
        <v>1018</v>
      </c>
      <c r="I31" s="4" t="s">
        <v>1001</v>
      </c>
      <c r="J31" s="13">
        <v>12000</v>
      </c>
      <c r="K31" s="4" t="str">
        <f>IF(SUM($J$25:J31)&gt;=70000,"골드",IF(SUM($J$25:J31)&gt;=50000,"실버",""))</f>
        <v>골드</v>
      </c>
    </row>
    <row r="32" spans="1:11">
      <c r="A32" s="4" t="s">
        <v>1019</v>
      </c>
      <c r="B32" s="4" t="s">
        <v>1020</v>
      </c>
      <c r="C32" s="4">
        <v>82</v>
      </c>
      <c r="D32" s="4">
        <v>85</v>
      </c>
      <c r="E32" s="4">
        <v>80</v>
      </c>
      <c r="G32" s="24">
        <v>44308</v>
      </c>
      <c r="H32" s="4" t="s">
        <v>1021</v>
      </c>
      <c r="I32" s="4" t="s">
        <v>1001</v>
      </c>
      <c r="J32" s="13">
        <v>12000</v>
      </c>
      <c r="K32" s="4" t="str">
        <f>IF(SUM($J$25:J32)&gt;=70000,"골드",IF(SUM($J$25:J32)&gt;=50000,"실버",""))</f>
        <v>골드</v>
      </c>
    </row>
    <row r="33" spans="1:11">
      <c r="A33" s="4" t="s">
        <v>1009</v>
      </c>
      <c r="B33" s="4" t="s">
        <v>1022</v>
      </c>
      <c r="C33" s="4">
        <v>76</v>
      </c>
      <c r="D33" s="4">
        <v>77</v>
      </c>
      <c r="E33" s="4">
        <v>71</v>
      </c>
      <c r="G33" s="24">
        <v>44313</v>
      </c>
      <c r="H33" s="4" t="s">
        <v>1023</v>
      </c>
      <c r="I33" s="4" t="s">
        <v>1001</v>
      </c>
      <c r="J33" s="13">
        <v>12000</v>
      </c>
      <c r="K33" s="4" t="str">
        <f>IF(SUM($J$25:J33)&gt;=70000,"골드",IF(SUM($J$25:J33)&gt;=50000,"실버",""))</f>
        <v>골드</v>
      </c>
    </row>
    <row r="35" spans="1:11">
      <c r="A35" s="19" t="s">
        <v>1024</v>
      </c>
    </row>
    <row r="36" spans="1:11">
      <c r="A36" s="4" t="s">
        <v>989</v>
      </c>
      <c r="C36" s="42" t="s">
        <v>1025</v>
      </c>
      <c r="D36" s="42"/>
      <c r="E36" s="42"/>
    </row>
    <row r="37" spans="1:11">
      <c r="A37" s="4" t="s">
        <v>1002</v>
      </c>
      <c r="C37" s="43">
        <f>ROUNDDOWN(DAVERAGE(A24:E33,3,A36:A37),1)</f>
        <v>84.6</v>
      </c>
      <c r="D37" s="43"/>
      <c r="E37" s="43"/>
    </row>
  </sheetData>
  <mergeCells count="2">
    <mergeCell ref="C36:E36"/>
    <mergeCell ref="C37:E37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8"/>
  <sheetViews>
    <sheetView topLeftCell="A22" workbookViewId="0">
      <selection activeCell="D28" sqref="D28:D36"/>
    </sheetView>
  </sheetViews>
  <sheetFormatPr defaultRowHeight="17.399999999999999"/>
  <cols>
    <col min="1" max="1" width="9.69921875" bestFit="1" customWidth="1"/>
    <col min="3" max="3" width="11.09765625" bestFit="1" customWidth="1"/>
    <col min="6" max="6" width="9" bestFit="1" customWidth="1"/>
    <col min="7" max="7" width="11" bestFit="1" customWidth="1"/>
    <col min="8" max="8" width="11.69921875" bestFit="1" customWidth="1"/>
    <col min="9" max="9" width="18.5" bestFit="1" customWidth="1"/>
  </cols>
  <sheetData>
    <row r="1" spans="1:9">
      <c r="A1" s="1" t="s">
        <v>1026</v>
      </c>
      <c r="B1" s="15" t="s">
        <v>1027</v>
      </c>
      <c r="F1" s="2" t="s">
        <v>1028</v>
      </c>
      <c r="G1" s="15" t="s">
        <v>1029</v>
      </c>
    </row>
    <row r="2" spans="1:9">
      <c r="A2" s="4" t="s">
        <v>1030</v>
      </c>
      <c r="B2" s="4" t="s">
        <v>1031</v>
      </c>
      <c r="C2" s="4" t="s">
        <v>967</v>
      </c>
      <c r="D2" s="11" t="s">
        <v>1032</v>
      </c>
      <c r="F2" s="4" t="s">
        <v>1033</v>
      </c>
      <c r="G2" s="4" t="s">
        <v>1034</v>
      </c>
      <c r="H2" s="4" t="s">
        <v>1035</v>
      </c>
      <c r="I2" s="11" t="s">
        <v>1036</v>
      </c>
    </row>
    <row r="3" spans="1:9">
      <c r="A3" s="4" t="s">
        <v>1037</v>
      </c>
      <c r="B3" s="4" t="s">
        <v>1038</v>
      </c>
      <c r="C3" s="4">
        <v>60</v>
      </c>
      <c r="D3" s="13">
        <f>C3*HLOOKUP(LEFT(A3,2),$B$11:$D$12,2,FALSE)</f>
        <v>24000</v>
      </c>
      <c r="F3" s="4" t="s">
        <v>1039</v>
      </c>
      <c r="G3" s="4" t="s">
        <v>1040</v>
      </c>
      <c r="H3" s="7">
        <v>44423</v>
      </c>
      <c r="I3" s="6" t="str">
        <f>CHOOSE(WEEKDAY(H3,1),"일요일","월요일","화요일","수요일","목요일","금요일","토요일")</f>
        <v>일요일</v>
      </c>
    </row>
    <row r="4" spans="1:9">
      <c r="A4" s="4" t="s">
        <v>1041</v>
      </c>
      <c r="B4" s="4" t="s">
        <v>1042</v>
      </c>
      <c r="C4" s="4">
        <v>75</v>
      </c>
      <c r="D4" s="13">
        <f t="shared" ref="D4:D8" si="0">C4*HLOOKUP(LEFT(A4,2),$B$11:$D$12,2,FALSE)</f>
        <v>26250</v>
      </c>
      <c r="F4" s="4" t="s">
        <v>1043</v>
      </c>
      <c r="G4" s="4" t="s">
        <v>1044</v>
      </c>
      <c r="H4" s="7">
        <v>44429</v>
      </c>
      <c r="I4" s="6" t="str">
        <f t="shared" ref="I4:I12" si="1">CHOOSE(WEEKDAY(H4,1),"일요일","월요일","화요일","수요일","목요일","금요일","토요일")</f>
        <v>토요일</v>
      </c>
    </row>
    <row r="5" spans="1:9">
      <c r="A5" s="4" t="s">
        <v>1045</v>
      </c>
      <c r="B5" s="4" t="s">
        <v>1046</v>
      </c>
      <c r="C5" s="4">
        <v>80</v>
      </c>
      <c r="D5" s="13">
        <f t="shared" si="0"/>
        <v>24000</v>
      </c>
      <c r="F5" s="4" t="s">
        <v>1047</v>
      </c>
      <c r="G5" s="4" t="s">
        <v>1044</v>
      </c>
      <c r="H5" s="7">
        <v>44436</v>
      </c>
      <c r="I5" s="6" t="str">
        <f t="shared" si="1"/>
        <v>토요일</v>
      </c>
    </row>
    <row r="6" spans="1:9">
      <c r="A6" s="4" t="s">
        <v>1048</v>
      </c>
      <c r="B6" s="4" t="s">
        <v>1042</v>
      </c>
      <c r="C6" s="4">
        <v>70</v>
      </c>
      <c r="D6" s="13">
        <f t="shared" si="0"/>
        <v>24500</v>
      </c>
      <c r="F6" s="4" t="s">
        <v>1049</v>
      </c>
      <c r="G6" s="4" t="s">
        <v>1050</v>
      </c>
      <c r="H6" s="7">
        <v>44442</v>
      </c>
      <c r="I6" s="6" t="str">
        <f t="shared" si="1"/>
        <v>금요일</v>
      </c>
    </row>
    <row r="7" spans="1:9">
      <c r="A7" s="4" t="s">
        <v>1051</v>
      </c>
      <c r="B7" s="4" t="s">
        <v>1046</v>
      </c>
      <c r="C7" s="4">
        <v>95</v>
      </c>
      <c r="D7" s="13">
        <f t="shared" si="0"/>
        <v>38000</v>
      </c>
      <c r="F7" s="4" t="s">
        <v>1052</v>
      </c>
      <c r="G7" s="4" t="s">
        <v>1053</v>
      </c>
      <c r="H7" s="7">
        <v>44449</v>
      </c>
      <c r="I7" s="6" t="str">
        <f t="shared" si="1"/>
        <v>금요일</v>
      </c>
    </row>
    <row r="8" spans="1:9">
      <c r="A8" s="4" t="s">
        <v>1054</v>
      </c>
      <c r="B8" s="4" t="s">
        <v>1046</v>
      </c>
      <c r="C8" s="4">
        <v>65</v>
      </c>
      <c r="D8" s="13">
        <f t="shared" si="0"/>
        <v>19500</v>
      </c>
      <c r="F8" s="4" t="s">
        <v>1055</v>
      </c>
      <c r="G8" s="4" t="s">
        <v>1050</v>
      </c>
      <c r="H8" s="7">
        <v>44455</v>
      </c>
      <c r="I8" s="6" t="str">
        <f t="shared" si="1"/>
        <v>목요일</v>
      </c>
    </row>
    <row r="9" spans="1:9">
      <c r="F9" s="4" t="s">
        <v>1056</v>
      </c>
      <c r="G9" s="4" t="s">
        <v>1050</v>
      </c>
      <c r="H9" s="7">
        <v>44461</v>
      </c>
      <c r="I9" s="6" t="str">
        <f t="shared" si="1"/>
        <v>수요일</v>
      </c>
    </row>
    <row r="10" spans="1:9">
      <c r="A10" t="s">
        <v>1057</v>
      </c>
      <c r="D10" s="25" t="s">
        <v>1058</v>
      </c>
      <c r="F10" s="4" t="s">
        <v>1059</v>
      </c>
      <c r="G10" s="4" t="s">
        <v>1053</v>
      </c>
      <c r="H10" s="7">
        <v>44468</v>
      </c>
      <c r="I10" s="6" t="str">
        <f t="shared" si="1"/>
        <v>수요일</v>
      </c>
    </row>
    <row r="11" spans="1:9">
      <c r="A11" s="4" t="s">
        <v>1060</v>
      </c>
      <c r="B11" s="4" t="s">
        <v>1061</v>
      </c>
      <c r="C11" s="4" t="s">
        <v>1062</v>
      </c>
      <c r="D11" s="4" t="s">
        <v>1063</v>
      </c>
      <c r="F11" s="4" t="s">
        <v>1064</v>
      </c>
      <c r="G11" s="4" t="s">
        <v>1044</v>
      </c>
      <c r="H11" s="7">
        <v>44477</v>
      </c>
      <c r="I11" s="6" t="str">
        <f t="shared" si="1"/>
        <v>금요일</v>
      </c>
    </row>
    <row r="12" spans="1:9">
      <c r="A12" s="4" t="s">
        <v>1065</v>
      </c>
      <c r="B12" s="4">
        <v>400</v>
      </c>
      <c r="C12" s="4">
        <v>350</v>
      </c>
      <c r="D12" s="4">
        <v>300</v>
      </c>
      <c r="F12" s="4" t="s">
        <v>1066</v>
      </c>
      <c r="G12" s="4" t="s">
        <v>1053</v>
      </c>
      <c r="H12" s="7">
        <v>44483</v>
      </c>
      <c r="I12" s="6" t="str">
        <f t="shared" si="1"/>
        <v>목요일</v>
      </c>
    </row>
    <row r="14" spans="1:9">
      <c r="A14" s="2" t="s">
        <v>1067</v>
      </c>
      <c r="B14" s="15" t="s">
        <v>1068</v>
      </c>
      <c r="F14" s="2" t="s">
        <v>1069</v>
      </c>
      <c r="G14" s="15" t="s">
        <v>1070</v>
      </c>
    </row>
    <row r="15" spans="1:9">
      <c r="A15" s="4" t="s">
        <v>1071</v>
      </c>
      <c r="B15" s="4" t="s">
        <v>1072</v>
      </c>
      <c r="C15" s="4" t="s">
        <v>1073</v>
      </c>
      <c r="F15" s="4" t="s">
        <v>1074</v>
      </c>
      <c r="G15" s="4" t="s">
        <v>1075</v>
      </c>
      <c r="H15" s="4" t="s">
        <v>1076</v>
      </c>
      <c r="I15" s="11" t="s">
        <v>1077</v>
      </c>
    </row>
    <row r="16" spans="1:9">
      <c r="A16" s="4" t="s">
        <v>1078</v>
      </c>
      <c r="B16" s="4" t="s">
        <v>1079</v>
      </c>
      <c r="C16" s="4">
        <v>85</v>
      </c>
      <c r="F16" s="4" t="s">
        <v>1080</v>
      </c>
      <c r="G16" s="4" t="s">
        <v>1081</v>
      </c>
      <c r="H16" s="13">
        <v>1386</v>
      </c>
      <c r="I16" s="4" t="str">
        <f>UPPER(F16)&amp;"("&amp;LOWER(G16)&amp;")"</f>
        <v>KOREA(seoul)</v>
      </c>
    </row>
    <row r="17" spans="1:9">
      <c r="A17" s="4" t="s">
        <v>1082</v>
      </c>
      <c r="B17" s="4" t="s">
        <v>1083</v>
      </c>
      <c r="C17" s="4">
        <v>97</v>
      </c>
      <c r="F17" s="4" t="s">
        <v>1084</v>
      </c>
      <c r="G17" s="4" t="s">
        <v>1085</v>
      </c>
      <c r="H17" s="13">
        <v>700</v>
      </c>
      <c r="I17" s="4" t="str">
        <f t="shared" ref="I17:I24" si="2">UPPER(F17)&amp;"("&amp;LOWER(G17)&amp;")"</f>
        <v>PORTUGAL(risbon)</v>
      </c>
    </row>
    <row r="18" spans="1:9">
      <c r="A18" s="4" t="s">
        <v>1086</v>
      </c>
      <c r="B18" s="4" t="s">
        <v>1087</v>
      </c>
      <c r="C18" s="4">
        <v>88</v>
      </c>
      <c r="F18" s="4" t="s">
        <v>1088</v>
      </c>
      <c r="G18" s="4" t="s">
        <v>1089</v>
      </c>
      <c r="H18" s="13">
        <v>370</v>
      </c>
      <c r="I18" s="4" t="str">
        <f t="shared" si="2"/>
        <v>SPAIN(madrid)</v>
      </c>
    </row>
    <row r="19" spans="1:9">
      <c r="A19" s="4" t="s">
        <v>1090</v>
      </c>
      <c r="B19" s="4" t="s">
        <v>1091</v>
      </c>
      <c r="C19" s="4">
        <v>67</v>
      </c>
      <c r="F19" s="4" t="s">
        <v>1092</v>
      </c>
      <c r="G19" s="4" t="s">
        <v>1093</v>
      </c>
      <c r="H19" s="13">
        <v>1405</v>
      </c>
      <c r="I19" s="4" t="str">
        <f t="shared" si="2"/>
        <v>JAPAN(tokyo)</v>
      </c>
    </row>
    <row r="20" spans="1:9">
      <c r="A20" s="4" t="s">
        <v>1094</v>
      </c>
      <c r="B20" s="4" t="s">
        <v>1083</v>
      </c>
      <c r="C20" s="4">
        <v>82</v>
      </c>
      <c r="F20" s="4" t="s">
        <v>1095</v>
      </c>
      <c r="G20" s="4" t="s">
        <v>1096</v>
      </c>
      <c r="H20" s="13">
        <v>156</v>
      </c>
      <c r="I20" s="4" t="str">
        <f t="shared" si="2"/>
        <v>GREECE(athens)</v>
      </c>
    </row>
    <row r="21" spans="1:9">
      <c r="A21" s="4" t="s">
        <v>1097</v>
      </c>
      <c r="B21" s="4" t="s">
        <v>1079</v>
      </c>
      <c r="C21" s="4">
        <v>92</v>
      </c>
      <c r="F21" s="4" t="s">
        <v>1098</v>
      </c>
      <c r="G21" s="4" t="s">
        <v>1099</v>
      </c>
      <c r="H21" s="13">
        <v>594</v>
      </c>
      <c r="I21" s="4" t="str">
        <f t="shared" si="2"/>
        <v>CUBA(havana)</v>
      </c>
    </row>
    <row r="22" spans="1:9">
      <c r="F22" s="4" t="s">
        <v>1100</v>
      </c>
      <c r="G22" s="4" t="s">
        <v>1101</v>
      </c>
      <c r="H22" s="13">
        <v>1230</v>
      </c>
      <c r="I22" s="4" t="str">
        <f t="shared" si="2"/>
        <v>TURKEY(ankara)</v>
      </c>
    </row>
    <row r="23" spans="1:9">
      <c r="A23" s="4" t="s">
        <v>1072</v>
      </c>
      <c r="B23" s="42" t="s">
        <v>1102</v>
      </c>
      <c r="C23" s="42"/>
      <c r="F23" s="4" t="s">
        <v>1103</v>
      </c>
      <c r="G23" s="4" t="s">
        <v>1104</v>
      </c>
      <c r="H23" s="13">
        <v>412</v>
      </c>
      <c r="I23" s="4" t="str">
        <f t="shared" si="2"/>
        <v>MOROCCO(rabat)</v>
      </c>
    </row>
    <row r="24" spans="1:9">
      <c r="A24" s="4" t="s">
        <v>1083</v>
      </c>
      <c r="B24" s="43">
        <f>DSUM(A15:C21,3,A23:A24)/DCOUNT(A15:C21,3,A23:A24)</f>
        <v>89.5</v>
      </c>
      <c r="C24" s="43"/>
      <c r="F24" s="4" t="s">
        <v>1105</v>
      </c>
      <c r="G24" s="4" t="s">
        <v>1106</v>
      </c>
      <c r="H24" s="13">
        <v>1240</v>
      </c>
      <c r="I24" s="4" t="str">
        <f t="shared" si="2"/>
        <v>FRANCE(paris)</v>
      </c>
    </row>
    <row r="26" spans="1:9">
      <c r="A26" s="2" t="s">
        <v>1107</v>
      </c>
      <c r="B26" s="15" t="s">
        <v>1108</v>
      </c>
    </row>
    <row r="27" spans="1:9">
      <c r="A27" s="4" t="s">
        <v>488</v>
      </c>
      <c r="B27" s="4" t="s">
        <v>1109</v>
      </c>
      <c r="C27" s="4" t="s">
        <v>1110</v>
      </c>
      <c r="D27" s="11" t="s">
        <v>1111</v>
      </c>
    </row>
    <row r="28" spans="1:9">
      <c r="A28" s="4" t="s">
        <v>1112</v>
      </c>
      <c r="B28" s="4" t="s">
        <v>1113</v>
      </c>
      <c r="C28" s="7">
        <v>37435</v>
      </c>
      <c r="D28" s="4" t="str">
        <f>IF($B$38-YEAR(C28)&gt;=20,"채용","")</f>
        <v/>
      </c>
    </row>
    <row r="29" spans="1:9">
      <c r="A29" s="4" t="s">
        <v>1114</v>
      </c>
      <c r="B29" s="4" t="s">
        <v>1115</v>
      </c>
      <c r="C29" s="7">
        <v>35879</v>
      </c>
      <c r="D29" s="4" t="str">
        <f t="shared" ref="D29:D36" si="3">IF($B$38-YEAR(C29)&gt;=20,"채용","")</f>
        <v>채용</v>
      </c>
    </row>
    <row r="30" spans="1:9">
      <c r="A30" s="4" t="s">
        <v>1116</v>
      </c>
      <c r="B30" s="4" t="s">
        <v>1117</v>
      </c>
      <c r="C30" s="7">
        <v>36450</v>
      </c>
      <c r="D30" s="4" t="str">
        <f t="shared" si="3"/>
        <v>채용</v>
      </c>
    </row>
    <row r="31" spans="1:9">
      <c r="A31" s="4" t="s">
        <v>1118</v>
      </c>
      <c r="B31" s="4" t="s">
        <v>1119</v>
      </c>
      <c r="C31" s="7">
        <v>37246</v>
      </c>
      <c r="D31" s="4" t="str">
        <f t="shared" si="3"/>
        <v>채용</v>
      </c>
    </row>
    <row r="32" spans="1:9">
      <c r="A32" s="4" t="s">
        <v>1120</v>
      </c>
      <c r="B32" s="4" t="s">
        <v>1121</v>
      </c>
      <c r="C32" s="7">
        <v>37354</v>
      </c>
      <c r="D32" s="4" t="str">
        <f t="shared" si="3"/>
        <v/>
      </c>
    </row>
    <row r="33" spans="1:4">
      <c r="A33" s="4" t="s">
        <v>1122</v>
      </c>
      <c r="B33" s="4" t="s">
        <v>1123</v>
      </c>
      <c r="C33" s="7">
        <v>37126</v>
      </c>
      <c r="D33" s="4" t="str">
        <f t="shared" si="3"/>
        <v>채용</v>
      </c>
    </row>
    <row r="34" spans="1:4">
      <c r="A34" s="4" t="s">
        <v>1124</v>
      </c>
      <c r="B34" s="4" t="s">
        <v>1125</v>
      </c>
      <c r="C34" s="7">
        <v>35436</v>
      </c>
      <c r="D34" s="4" t="str">
        <f t="shared" si="3"/>
        <v>채용</v>
      </c>
    </row>
    <row r="35" spans="1:4">
      <c r="A35" s="4" t="s">
        <v>1126</v>
      </c>
      <c r="B35" s="4" t="s">
        <v>1127</v>
      </c>
      <c r="C35" s="7">
        <v>37298</v>
      </c>
      <c r="D35" s="4" t="str">
        <f t="shared" si="3"/>
        <v/>
      </c>
    </row>
    <row r="36" spans="1:4">
      <c r="A36" s="4" t="s">
        <v>1128</v>
      </c>
      <c r="B36" s="4" t="s">
        <v>1129</v>
      </c>
      <c r="C36" s="7">
        <v>36129</v>
      </c>
      <c r="D36" s="4" t="str">
        <f t="shared" si="3"/>
        <v>채용</v>
      </c>
    </row>
    <row r="38" spans="1:4">
      <c r="A38" s="4" t="s">
        <v>1130</v>
      </c>
      <c r="B38" s="4">
        <v>2021</v>
      </c>
    </row>
  </sheetData>
  <mergeCells count="2">
    <mergeCell ref="B23:C23"/>
    <mergeCell ref="B24:C2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7"/>
  <sheetViews>
    <sheetView topLeftCell="A19" workbookViewId="0">
      <selection activeCell="H29" sqref="H29:H36"/>
    </sheetView>
  </sheetViews>
  <sheetFormatPr defaultRowHeight="17.399999999999999"/>
  <cols>
    <col min="1" max="1" width="11" bestFit="1" customWidth="1"/>
    <col min="2" max="2" width="13" bestFit="1" customWidth="1"/>
    <col min="3" max="3" width="11.09765625" bestFit="1" customWidth="1"/>
    <col min="6" max="6" width="15" bestFit="1" customWidth="1"/>
    <col min="7" max="7" width="11.09765625" bestFit="1" customWidth="1"/>
    <col min="8" max="8" width="9.5" bestFit="1" customWidth="1"/>
  </cols>
  <sheetData>
    <row r="1" spans="1:11">
      <c r="A1" s="1" t="s">
        <v>479</v>
      </c>
      <c r="B1" s="15"/>
      <c r="F1" s="2" t="s">
        <v>503</v>
      </c>
      <c r="G1" s="15"/>
    </row>
    <row r="2" spans="1:11">
      <c r="A2" s="4" t="s">
        <v>504</v>
      </c>
      <c r="B2" s="4" t="s">
        <v>3</v>
      </c>
      <c r="C2" s="4" t="s">
        <v>505</v>
      </c>
      <c r="D2" s="11" t="s">
        <v>506</v>
      </c>
      <c r="F2" s="4" t="s">
        <v>3</v>
      </c>
      <c r="G2" s="4" t="s">
        <v>507</v>
      </c>
      <c r="H2" s="4" t="s">
        <v>508</v>
      </c>
      <c r="I2" s="11" t="s">
        <v>509</v>
      </c>
    </row>
    <row r="3" spans="1:11">
      <c r="A3" s="4" t="s">
        <v>510</v>
      </c>
      <c r="B3" s="4" t="s">
        <v>511</v>
      </c>
      <c r="C3" s="7">
        <v>43805</v>
      </c>
      <c r="D3" s="4" t="str">
        <f>IF(WEEKDAY(C3,2)&lt;=5,"평일","주말")</f>
        <v>평일</v>
      </c>
      <c r="F3" s="4" t="s">
        <v>512</v>
      </c>
      <c r="G3" s="4">
        <v>85</v>
      </c>
      <c r="H3" s="4">
        <v>90</v>
      </c>
      <c r="I3" s="4" t="str">
        <f>HLOOKUP(AVERAGE(G3,H3),$G$12:$K$14,3)</f>
        <v>B</v>
      </c>
    </row>
    <row r="4" spans="1:11">
      <c r="A4" s="4" t="s">
        <v>513</v>
      </c>
      <c r="B4" s="4" t="s">
        <v>514</v>
      </c>
      <c r="C4" s="7">
        <v>43967</v>
      </c>
      <c r="D4" s="4" t="str">
        <f t="shared" ref="D4:D9" si="0">IF(WEEKDAY(C4,2)&lt;=5,"평일","주말")</f>
        <v>주말</v>
      </c>
      <c r="F4" s="4" t="s">
        <v>515</v>
      </c>
      <c r="G4" s="4">
        <v>65</v>
      </c>
      <c r="H4" s="4">
        <v>70</v>
      </c>
      <c r="I4" s="4" t="str">
        <f t="shared" ref="I4:I9" si="1">HLOOKUP(AVERAGE(G4,H4),$G$12:$K$14,3)</f>
        <v>D</v>
      </c>
    </row>
    <row r="5" spans="1:11">
      <c r="A5" s="4" t="s">
        <v>516</v>
      </c>
      <c r="B5" s="4" t="s">
        <v>140</v>
      </c>
      <c r="C5" s="7">
        <v>43734</v>
      </c>
      <c r="D5" s="4" t="str">
        <f t="shared" si="0"/>
        <v>평일</v>
      </c>
      <c r="F5" s="4" t="s">
        <v>517</v>
      </c>
      <c r="G5" s="4">
        <v>70</v>
      </c>
      <c r="H5" s="4">
        <v>95</v>
      </c>
      <c r="I5" s="4" t="str">
        <f t="shared" si="1"/>
        <v>B</v>
      </c>
    </row>
    <row r="6" spans="1:11">
      <c r="A6" s="4" t="s">
        <v>275</v>
      </c>
      <c r="B6" s="4" t="s">
        <v>518</v>
      </c>
      <c r="C6" s="7">
        <v>43899</v>
      </c>
      <c r="D6" s="4" t="str">
        <f t="shared" si="0"/>
        <v>평일</v>
      </c>
      <c r="F6" s="4" t="s">
        <v>519</v>
      </c>
      <c r="G6" s="4">
        <v>90</v>
      </c>
      <c r="H6" s="4">
        <v>75</v>
      </c>
      <c r="I6" s="4" t="str">
        <f t="shared" si="1"/>
        <v>B</v>
      </c>
    </row>
    <row r="7" spans="1:11">
      <c r="A7" s="4" t="s">
        <v>273</v>
      </c>
      <c r="B7" s="4" t="s">
        <v>520</v>
      </c>
      <c r="C7" s="7">
        <v>43986</v>
      </c>
      <c r="D7" s="4" t="str">
        <f t="shared" si="0"/>
        <v>평일</v>
      </c>
      <c r="F7" s="4" t="s">
        <v>521</v>
      </c>
      <c r="G7" s="4">
        <v>60</v>
      </c>
      <c r="H7" s="4">
        <v>75</v>
      </c>
      <c r="I7" s="4" t="str">
        <f t="shared" si="1"/>
        <v>D</v>
      </c>
    </row>
    <row r="8" spans="1:11">
      <c r="A8" s="4" t="s">
        <v>522</v>
      </c>
      <c r="B8" s="4" t="s">
        <v>523</v>
      </c>
      <c r="C8" s="7">
        <v>43963</v>
      </c>
      <c r="D8" s="4" t="str">
        <f t="shared" si="0"/>
        <v>평일</v>
      </c>
      <c r="F8" s="4" t="s">
        <v>524</v>
      </c>
      <c r="G8" s="4">
        <v>95</v>
      </c>
      <c r="H8" s="4">
        <v>85</v>
      </c>
      <c r="I8" s="4" t="str">
        <f t="shared" si="1"/>
        <v>A</v>
      </c>
    </row>
    <row r="9" spans="1:11">
      <c r="A9" s="4" t="s">
        <v>525</v>
      </c>
      <c r="B9" s="4" t="s">
        <v>526</v>
      </c>
      <c r="C9" s="7">
        <v>43725</v>
      </c>
      <c r="D9" s="4" t="str">
        <f t="shared" si="0"/>
        <v>평일</v>
      </c>
      <c r="F9" s="4" t="s">
        <v>527</v>
      </c>
      <c r="G9" s="4">
        <v>70</v>
      </c>
      <c r="H9" s="4">
        <v>85</v>
      </c>
      <c r="I9" s="4" t="str">
        <f t="shared" si="1"/>
        <v>C</v>
      </c>
    </row>
    <row r="11" spans="1:11">
      <c r="F11" t="s">
        <v>528</v>
      </c>
    </row>
    <row r="12" spans="1:11">
      <c r="A12" s="2" t="s">
        <v>529</v>
      </c>
      <c r="F12" s="47" t="s">
        <v>497</v>
      </c>
      <c r="G12" s="16">
        <v>0</v>
      </c>
      <c r="H12" s="16">
        <v>60</v>
      </c>
      <c r="I12" s="16">
        <v>70</v>
      </c>
      <c r="J12" s="16">
        <v>80</v>
      </c>
      <c r="K12" s="16">
        <v>90</v>
      </c>
    </row>
    <row r="13" spans="1:11">
      <c r="A13" s="4" t="s">
        <v>370</v>
      </c>
      <c r="B13" s="4" t="s">
        <v>3</v>
      </c>
      <c r="C13" s="4" t="s">
        <v>126</v>
      </c>
      <c r="D13" s="4" t="s">
        <v>417</v>
      </c>
      <c r="F13" s="48"/>
      <c r="G13" s="17">
        <v>60</v>
      </c>
      <c r="H13" s="17">
        <v>70</v>
      </c>
      <c r="I13" s="17">
        <v>80</v>
      </c>
      <c r="J13" s="17">
        <v>90</v>
      </c>
      <c r="K13" s="18">
        <v>100</v>
      </c>
    </row>
    <row r="14" spans="1:11">
      <c r="A14" s="4" t="s">
        <v>530</v>
      </c>
      <c r="B14" s="4" t="s">
        <v>531</v>
      </c>
      <c r="C14" s="7">
        <v>34992</v>
      </c>
      <c r="D14" s="4">
        <v>3.45</v>
      </c>
      <c r="F14" s="4" t="s">
        <v>532</v>
      </c>
      <c r="G14" s="4" t="s">
        <v>533</v>
      </c>
      <c r="H14" s="4" t="s">
        <v>534</v>
      </c>
      <c r="I14" s="4" t="s">
        <v>535</v>
      </c>
      <c r="J14" s="4" t="s">
        <v>400</v>
      </c>
      <c r="K14" s="4" t="s">
        <v>399</v>
      </c>
    </row>
    <row r="15" spans="1:11">
      <c r="A15" s="4" t="s">
        <v>536</v>
      </c>
      <c r="B15" s="4" t="s">
        <v>537</v>
      </c>
      <c r="C15" s="7">
        <v>34395</v>
      </c>
      <c r="D15" s="4">
        <v>4.0199999999999996</v>
      </c>
    </row>
    <row r="16" spans="1:11">
      <c r="A16" s="4" t="s">
        <v>536</v>
      </c>
      <c r="B16" s="4" t="s">
        <v>538</v>
      </c>
      <c r="C16" s="7">
        <v>34568</v>
      </c>
      <c r="D16" s="4">
        <v>3.67</v>
      </c>
    </row>
    <row r="17" spans="1:8">
      <c r="A17" s="4" t="s">
        <v>530</v>
      </c>
      <c r="B17" s="4" t="s">
        <v>539</v>
      </c>
      <c r="C17" s="7">
        <v>33626</v>
      </c>
      <c r="D17" s="4">
        <v>3.89</v>
      </c>
    </row>
    <row r="18" spans="1:8">
      <c r="A18" s="4" t="s">
        <v>540</v>
      </c>
      <c r="B18" s="4" t="s">
        <v>541</v>
      </c>
      <c r="C18" s="7">
        <v>34831</v>
      </c>
      <c r="D18" s="4">
        <v>3.12</v>
      </c>
    </row>
    <row r="19" spans="1:8">
      <c r="A19" s="4" t="s">
        <v>540</v>
      </c>
      <c r="B19" s="4" t="s">
        <v>542</v>
      </c>
      <c r="C19" s="7">
        <v>35251</v>
      </c>
      <c r="D19" s="4">
        <v>3.91</v>
      </c>
    </row>
    <row r="20" spans="1:8">
      <c r="A20" s="4" t="s">
        <v>530</v>
      </c>
      <c r="B20" s="4" t="s">
        <v>543</v>
      </c>
      <c r="C20" s="7">
        <v>34998</v>
      </c>
      <c r="D20" s="4">
        <v>4.1500000000000004</v>
      </c>
    </row>
    <row r="21" spans="1:8">
      <c r="A21" s="4" t="s">
        <v>536</v>
      </c>
      <c r="B21" s="4" t="s">
        <v>544</v>
      </c>
      <c r="C21" s="7">
        <v>34147</v>
      </c>
      <c r="D21" s="4">
        <v>3.52</v>
      </c>
    </row>
    <row r="23" spans="1:8">
      <c r="A23" s="19" t="s">
        <v>545</v>
      </c>
    </row>
    <row r="24" spans="1:8">
      <c r="A24" s="4" t="s">
        <v>989</v>
      </c>
      <c r="B24" s="36" t="s">
        <v>546</v>
      </c>
      <c r="C24" s="38"/>
      <c r="D24" s="4">
        <f>ROUND(DAVERAGE(A13:D21,4,A24:A25),2)</f>
        <v>3.74</v>
      </c>
    </row>
    <row r="25" spans="1:8">
      <c r="A25" s="4" t="s">
        <v>1723</v>
      </c>
    </row>
    <row r="27" spans="1:8">
      <c r="A27" s="2" t="s">
        <v>547</v>
      </c>
      <c r="F27" s="2" t="s">
        <v>548</v>
      </c>
    </row>
    <row r="28" spans="1:8">
      <c r="A28" s="4" t="s">
        <v>496</v>
      </c>
      <c r="B28" s="4" t="s">
        <v>549</v>
      </c>
      <c r="C28" s="4" t="s">
        <v>550</v>
      </c>
      <c r="D28" s="4" t="s">
        <v>551</v>
      </c>
      <c r="F28" s="4" t="s">
        <v>370</v>
      </c>
      <c r="G28" s="4" t="s">
        <v>552</v>
      </c>
      <c r="H28" s="11" t="s">
        <v>553</v>
      </c>
    </row>
    <row r="29" spans="1:8">
      <c r="A29" s="4" t="s">
        <v>531</v>
      </c>
      <c r="B29" s="4">
        <v>77</v>
      </c>
      <c r="C29" s="4">
        <v>75</v>
      </c>
      <c r="D29" s="4">
        <v>88</v>
      </c>
      <c r="F29" s="4" t="s">
        <v>554</v>
      </c>
      <c r="G29" s="7">
        <v>43160</v>
      </c>
      <c r="H29" s="4" t="str">
        <f>PROPER(LEFT(F29,3))&amp;YEAR(G29)</f>
        <v>Hea2018</v>
      </c>
    </row>
    <row r="30" spans="1:8">
      <c r="A30" s="4" t="s">
        <v>537</v>
      </c>
      <c r="B30" s="4">
        <v>58</v>
      </c>
      <c r="C30" s="4">
        <v>76</v>
      </c>
      <c r="D30" s="4">
        <v>78</v>
      </c>
      <c r="F30" s="4" t="s">
        <v>554</v>
      </c>
      <c r="G30" s="7">
        <v>43892</v>
      </c>
      <c r="H30" s="4" t="str">
        <f t="shared" ref="H30:H36" si="2">PROPER(LEFT(F30,3))&amp;YEAR(G30)</f>
        <v>Hea2020</v>
      </c>
    </row>
    <row r="31" spans="1:8">
      <c r="A31" s="4" t="s">
        <v>538</v>
      </c>
      <c r="B31" s="4">
        <v>68</v>
      </c>
      <c r="C31" s="4">
        <v>70</v>
      </c>
      <c r="D31" s="4">
        <v>80</v>
      </c>
      <c r="F31" s="4" t="s">
        <v>555</v>
      </c>
      <c r="G31" s="7">
        <v>43160</v>
      </c>
      <c r="H31" s="4" t="str">
        <f t="shared" si="2"/>
        <v>Com2018</v>
      </c>
    </row>
    <row r="32" spans="1:8">
      <c r="A32" s="4" t="s">
        <v>539</v>
      </c>
      <c r="B32" s="4">
        <v>53</v>
      </c>
      <c r="C32" s="4">
        <v>69</v>
      </c>
      <c r="D32" s="4">
        <v>94</v>
      </c>
      <c r="F32" s="4" t="s">
        <v>555</v>
      </c>
      <c r="G32" s="7">
        <v>43891</v>
      </c>
      <c r="H32" s="4" t="str">
        <f t="shared" si="2"/>
        <v>Com2020</v>
      </c>
    </row>
    <row r="33" spans="1:8">
      <c r="A33" s="4" t="s">
        <v>541</v>
      </c>
      <c r="B33" s="4">
        <v>73</v>
      </c>
      <c r="C33" s="4">
        <v>75</v>
      </c>
      <c r="D33" s="4">
        <v>91</v>
      </c>
      <c r="F33" s="4" t="s">
        <v>556</v>
      </c>
      <c r="G33" s="7">
        <v>42795</v>
      </c>
      <c r="H33" s="4" t="str">
        <f t="shared" si="2"/>
        <v>Des2017</v>
      </c>
    </row>
    <row r="34" spans="1:8">
      <c r="A34" s="4" t="s">
        <v>542</v>
      </c>
      <c r="B34" s="4">
        <v>55</v>
      </c>
      <c r="C34" s="4">
        <v>67</v>
      </c>
      <c r="D34" s="4">
        <v>88</v>
      </c>
      <c r="F34" s="4" t="s">
        <v>556</v>
      </c>
      <c r="G34" s="7">
        <v>43526</v>
      </c>
      <c r="H34" s="4" t="str">
        <f t="shared" si="2"/>
        <v>Des2019</v>
      </c>
    </row>
    <row r="35" spans="1:8">
      <c r="A35" s="4" t="s">
        <v>543</v>
      </c>
      <c r="B35" s="4">
        <v>95</v>
      </c>
      <c r="C35" s="4">
        <v>89</v>
      </c>
      <c r="D35" s="4">
        <v>79</v>
      </c>
      <c r="F35" s="4" t="s">
        <v>557</v>
      </c>
      <c r="G35" s="7">
        <v>42795</v>
      </c>
      <c r="H35" s="4" t="str">
        <f t="shared" si="2"/>
        <v>Art2017</v>
      </c>
    </row>
    <row r="36" spans="1:8">
      <c r="F36" s="4" t="s">
        <v>557</v>
      </c>
      <c r="G36" s="7">
        <v>43526</v>
      </c>
      <c r="H36" s="4" t="str">
        <f t="shared" si="2"/>
        <v>Art2019</v>
      </c>
    </row>
    <row r="37" spans="1:8">
      <c r="A37" s="42" t="s">
        <v>558</v>
      </c>
      <c r="B37" s="42"/>
      <c r="C37" s="42"/>
      <c r="D37" s="4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J31"/>
  <sheetViews>
    <sheetView topLeftCell="A16" workbookViewId="0">
      <selection activeCell="E26" sqref="E26:E31"/>
    </sheetView>
  </sheetViews>
  <sheetFormatPr defaultRowHeight="17.399999999999999"/>
  <cols>
    <col min="1" max="1" width="9" customWidth="1"/>
    <col min="2" max="2" width="14.69921875" customWidth="1"/>
    <col min="3" max="3" width="9.296875" customWidth="1"/>
    <col min="4" max="4" width="9.796875" customWidth="1"/>
    <col min="5" max="5" width="11.09765625" customWidth="1"/>
    <col min="6" max="6" width="9" customWidth="1"/>
    <col min="7" max="8" width="9.59765625" customWidth="1"/>
    <col min="9" max="9" width="9" bestFit="1" customWidth="1"/>
    <col min="10" max="10" width="11.59765625" bestFit="1" customWidth="1"/>
  </cols>
  <sheetData>
    <row r="1" spans="1:10">
      <c r="A1" s="1" t="s">
        <v>0</v>
      </c>
      <c r="B1" s="8" t="s">
        <v>675</v>
      </c>
      <c r="C1" s="8"/>
      <c r="D1" s="8"/>
      <c r="F1" s="2" t="s">
        <v>1</v>
      </c>
      <c r="G1" s="8" t="s">
        <v>79</v>
      </c>
      <c r="H1" s="8"/>
      <c r="I1" s="8"/>
      <c r="J1" s="8"/>
    </row>
    <row r="2" spans="1:10">
      <c r="A2" s="4" t="s">
        <v>1131</v>
      </c>
      <c r="B2" s="4" t="s">
        <v>1132</v>
      </c>
      <c r="C2" s="4" t="s">
        <v>1133</v>
      </c>
      <c r="D2" s="11" t="s">
        <v>676</v>
      </c>
      <c r="F2" s="4" t="s">
        <v>80</v>
      </c>
      <c r="G2" s="4" t="s">
        <v>81</v>
      </c>
      <c r="H2" s="4" t="s">
        <v>82</v>
      </c>
      <c r="I2" s="4" t="s">
        <v>83</v>
      </c>
      <c r="J2" s="11" t="s">
        <v>84</v>
      </c>
    </row>
    <row r="3" spans="1:10">
      <c r="A3" s="4" t="s">
        <v>677</v>
      </c>
      <c r="B3" s="4">
        <v>86</v>
      </c>
      <c r="C3" s="6">
        <v>82</v>
      </c>
      <c r="D3" s="4" t="str">
        <f>HLOOKUP(AVERAGE(B3,C3),$B$11:$D$12,2)</f>
        <v>준수</v>
      </c>
      <c r="F3" s="4" t="s">
        <v>85</v>
      </c>
      <c r="G3" s="13">
        <v>1137</v>
      </c>
      <c r="H3" s="3">
        <v>823</v>
      </c>
      <c r="I3" s="3">
        <v>314</v>
      </c>
      <c r="J3" s="4" t="str">
        <f>IF(OR(LEFT(F3,1)="S",LEFT(F3,1)="K"),"수도권",IF(OR(LEFT(F3,1)="D",LEFT(F3,1)="B"),"경상도","전라도"))</f>
        <v>수도권</v>
      </c>
    </row>
    <row r="4" spans="1:10">
      <c r="A4" s="4" t="s">
        <v>86</v>
      </c>
      <c r="B4" s="4">
        <v>94</v>
      </c>
      <c r="C4" s="6">
        <v>93</v>
      </c>
      <c r="D4" s="4" t="str">
        <f t="shared" ref="D4:D8" si="0">HLOOKUP(AVERAGE(B4,C4),$B$11:$D$12,2)</f>
        <v>우수</v>
      </c>
      <c r="F4" s="4" t="s">
        <v>87</v>
      </c>
      <c r="G4" s="13">
        <v>1027</v>
      </c>
      <c r="H4" s="3">
        <v>720</v>
      </c>
      <c r="I4" s="3">
        <v>307</v>
      </c>
      <c r="J4" s="4" t="str">
        <f t="shared" ref="J4:J9" si="1">IF(OR(LEFT(F4,1)="S",LEFT(F4,1)="K"),"수도권",IF(OR(LEFT(F4,1)="D",LEFT(F4,1)="B"),"경상도","전라도"))</f>
        <v>경상도</v>
      </c>
    </row>
    <row r="5" spans="1:10">
      <c r="A5" s="4" t="s">
        <v>88</v>
      </c>
      <c r="B5" s="4">
        <v>73</v>
      </c>
      <c r="C5" s="6">
        <v>86</v>
      </c>
      <c r="D5" s="4" t="str">
        <f t="shared" si="0"/>
        <v>준수</v>
      </c>
      <c r="F5" s="4" t="s">
        <v>89</v>
      </c>
      <c r="G5" s="13">
        <v>923</v>
      </c>
      <c r="H5" s="3">
        <v>792</v>
      </c>
      <c r="I5" s="3">
        <v>131</v>
      </c>
      <c r="J5" s="4" t="str">
        <f t="shared" si="1"/>
        <v>전라도</v>
      </c>
    </row>
    <row r="6" spans="1:10">
      <c r="A6" s="4" t="s">
        <v>90</v>
      </c>
      <c r="B6" s="4">
        <v>91</v>
      </c>
      <c r="C6" s="6">
        <v>95</v>
      </c>
      <c r="D6" s="4" t="str">
        <f t="shared" si="0"/>
        <v>우수</v>
      </c>
      <c r="F6" s="4" t="s">
        <v>91</v>
      </c>
      <c r="G6" s="13">
        <v>1278</v>
      </c>
      <c r="H6" s="3">
        <v>879</v>
      </c>
      <c r="I6" s="3">
        <v>399</v>
      </c>
      <c r="J6" s="4" t="str">
        <f t="shared" si="1"/>
        <v>경상도</v>
      </c>
    </row>
    <row r="7" spans="1:10">
      <c r="A7" s="4" t="s">
        <v>92</v>
      </c>
      <c r="B7" s="4">
        <v>90</v>
      </c>
      <c r="C7" s="6">
        <v>81</v>
      </c>
      <c r="D7" s="4" t="str">
        <f t="shared" si="0"/>
        <v>준수</v>
      </c>
      <c r="F7" s="4" t="s">
        <v>93</v>
      </c>
      <c r="G7" s="13">
        <v>1087</v>
      </c>
      <c r="H7" s="3">
        <v>811</v>
      </c>
      <c r="I7" s="3">
        <v>276</v>
      </c>
      <c r="J7" s="4" t="str">
        <f t="shared" si="1"/>
        <v>수도권</v>
      </c>
    </row>
    <row r="8" spans="1:10">
      <c r="A8" s="4" t="s">
        <v>94</v>
      </c>
      <c r="B8" s="4">
        <v>67</v>
      </c>
      <c r="C8" s="6">
        <v>61</v>
      </c>
      <c r="D8" s="4" t="str">
        <f t="shared" si="0"/>
        <v>노력</v>
      </c>
      <c r="F8" s="4" t="s">
        <v>95</v>
      </c>
      <c r="G8" s="13">
        <v>987</v>
      </c>
      <c r="H8" s="3">
        <v>823</v>
      </c>
      <c r="I8" s="3">
        <v>163</v>
      </c>
      <c r="J8" s="4" t="str">
        <f t="shared" si="1"/>
        <v>수도권</v>
      </c>
    </row>
    <row r="9" spans="1:10">
      <c r="F9" s="4" t="s">
        <v>96</v>
      </c>
      <c r="G9" s="13">
        <v>1234</v>
      </c>
      <c r="H9" s="3">
        <v>983</v>
      </c>
      <c r="I9" s="3">
        <v>251</v>
      </c>
      <c r="J9" s="4" t="str">
        <f t="shared" si="1"/>
        <v>경상도</v>
      </c>
    </row>
    <row r="10" spans="1:10">
      <c r="A10" t="s">
        <v>678</v>
      </c>
    </row>
    <row r="11" spans="1:10">
      <c r="A11" s="4" t="s">
        <v>1134</v>
      </c>
      <c r="B11" s="4">
        <v>0</v>
      </c>
      <c r="C11" s="4">
        <v>70</v>
      </c>
      <c r="D11" s="4">
        <v>90</v>
      </c>
    </row>
    <row r="12" spans="1:10">
      <c r="A12" s="4" t="s">
        <v>676</v>
      </c>
      <c r="B12" s="13" t="s">
        <v>1135</v>
      </c>
      <c r="C12" s="13" t="s">
        <v>1136</v>
      </c>
      <c r="D12" s="13" t="s">
        <v>97</v>
      </c>
    </row>
    <row r="13" spans="1:10">
      <c r="F13" s="2" t="s">
        <v>98</v>
      </c>
      <c r="G13" s="8" t="s">
        <v>1137</v>
      </c>
      <c r="H13" s="8"/>
    </row>
    <row r="14" spans="1:10">
      <c r="A14" s="2" t="s">
        <v>100</v>
      </c>
      <c r="B14" s="8" t="s">
        <v>101</v>
      </c>
      <c r="C14" s="8"/>
      <c r="D14" s="8"/>
      <c r="F14" s="4" t="s">
        <v>1138</v>
      </c>
      <c r="G14" s="4" t="s">
        <v>1139</v>
      </c>
      <c r="H14" s="4" t="s">
        <v>1140</v>
      </c>
    </row>
    <row r="15" spans="1:10">
      <c r="A15" s="4" t="s">
        <v>102</v>
      </c>
      <c r="B15" s="4" t="s">
        <v>103</v>
      </c>
      <c r="C15" s="4" t="s">
        <v>104</v>
      </c>
      <c r="D15" s="4" t="s">
        <v>105</v>
      </c>
      <c r="F15" s="4" t="s">
        <v>679</v>
      </c>
      <c r="G15" s="13" t="s">
        <v>1141</v>
      </c>
      <c r="H15" s="13">
        <v>2287</v>
      </c>
    </row>
    <row r="16" spans="1:10">
      <c r="A16" s="4" t="s">
        <v>107</v>
      </c>
      <c r="B16" s="4" t="s">
        <v>108</v>
      </c>
      <c r="C16" s="13">
        <v>7900</v>
      </c>
      <c r="D16" s="13">
        <v>47400</v>
      </c>
      <c r="F16" s="4" t="s">
        <v>1142</v>
      </c>
      <c r="G16" s="13" t="s">
        <v>681</v>
      </c>
      <c r="H16" s="13">
        <v>2200</v>
      </c>
    </row>
    <row r="17" spans="1:10">
      <c r="A17" s="4" t="s">
        <v>110</v>
      </c>
      <c r="B17" s="4" t="s">
        <v>111</v>
      </c>
      <c r="C17" s="13">
        <v>9400</v>
      </c>
      <c r="D17" s="13">
        <v>84600</v>
      </c>
      <c r="F17" s="4" t="s">
        <v>682</v>
      </c>
      <c r="G17" s="13" t="s">
        <v>680</v>
      </c>
      <c r="H17" s="13">
        <v>3128</v>
      </c>
    </row>
    <row r="18" spans="1:10">
      <c r="A18" s="4" t="s">
        <v>113</v>
      </c>
      <c r="B18" s="4" t="s">
        <v>111</v>
      </c>
      <c r="C18" s="13">
        <v>9400</v>
      </c>
      <c r="D18" s="13">
        <v>42300</v>
      </c>
      <c r="F18" s="4" t="s">
        <v>682</v>
      </c>
      <c r="G18" s="13" t="s">
        <v>1143</v>
      </c>
      <c r="H18" s="13">
        <v>3153</v>
      </c>
    </row>
    <row r="19" spans="1:10">
      <c r="A19" s="4" t="s">
        <v>115</v>
      </c>
      <c r="B19" s="4" t="s">
        <v>108</v>
      </c>
      <c r="C19" s="13">
        <v>1500</v>
      </c>
      <c r="D19" s="13">
        <v>9000</v>
      </c>
      <c r="F19" s="4" t="s">
        <v>683</v>
      </c>
      <c r="G19" s="13" t="s">
        <v>1141</v>
      </c>
      <c r="H19" s="13">
        <v>1780</v>
      </c>
    </row>
    <row r="20" spans="1:10">
      <c r="A20" s="4" t="s">
        <v>117</v>
      </c>
      <c r="B20" s="4" t="s">
        <v>111</v>
      </c>
      <c r="C20" s="13">
        <v>5800</v>
      </c>
      <c r="D20" s="13">
        <v>46400</v>
      </c>
      <c r="F20" s="4" t="s">
        <v>683</v>
      </c>
      <c r="G20" s="13" t="s">
        <v>681</v>
      </c>
      <c r="H20" s="13">
        <v>3300</v>
      </c>
    </row>
    <row r="21" spans="1:10">
      <c r="A21" s="4" t="s">
        <v>119</v>
      </c>
      <c r="B21" s="4" t="s">
        <v>111</v>
      </c>
      <c r="C21" s="13">
        <v>3000</v>
      </c>
      <c r="D21" s="13">
        <v>36000</v>
      </c>
      <c r="F21" s="4" t="s">
        <v>114</v>
      </c>
      <c r="G21" s="13" t="s">
        <v>680</v>
      </c>
      <c r="H21" s="13">
        <v>2865</v>
      </c>
      <c r="I21" s="4" t="s">
        <v>1139</v>
      </c>
      <c r="J21" s="11" t="s">
        <v>684</v>
      </c>
    </row>
    <row r="22" spans="1:10">
      <c r="A22" s="36" t="s">
        <v>120</v>
      </c>
      <c r="B22" s="38"/>
      <c r="C22" s="13">
        <f>ROUND(_xlfn.STDEV.S(C16:C21),-2)</f>
        <v>3300</v>
      </c>
      <c r="D22" s="13">
        <f>ROUND(_xlfn.STDEV.S(D16:D21),-2)</f>
        <v>24300</v>
      </c>
      <c r="F22" s="4" t="s">
        <v>114</v>
      </c>
      <c r="G22" s="13" t="s">
        <v>1144</v>
      </c>
      <c r="H22" s="13">
        <v>3094</v>
      </c>
      <c r="I22" s="13" t="s">
        <v>681</v>
      </c>
      <c r="J22" s="13">
        <f>ROUNDDOWN(DSUM(F14:H22,3,I21:I22),-1)</f>
        <v>11740</v>
      </c>
    </row>
    <row r="24" spans="1:10">
      <c r="A24" s="2" t="s">
        <v>57</v>
      </c>
      <c r="B24" s="8" t="s">
        <v>121</v>
      </c>
      <c r="C24" s="8"/>
      <c r="D24" s="8"/>
      <c r="E24" s="8"/>
    </row>
    <row r="25" spans="1:10">
      <c r="A25" s="4" t="s">
        <v>122</v>
      </c>
      <c r="B25" s="4" t="s">
        <v>123</v>
      </c>
      <c r="C25" s="4" t="s">
        <v>124</v>
      </c>
      <c r="D25" s="11" t="s">
        <v>125</v>
      </c>
      <c r="E25" s="11" t="s">
        <v>126</v>
      </c>
    </row>
    <row r="26" spans="1:10">
      <c r="A26" s="4" t="s">
        <v>127</v>
      </c>
      <c r="B26" s="4" t="s">
        <v>1145</v>
      </c>
      <c r="C26" s="4">
        <v>4</v>
      </c>
      <c r="D26" s="4" t="str">
        <f>IF(MOD(MID(B26,8,1),2)=1,"남자","여자")</f>
        <v>남자</v>
      </c>
      <c r="E26" s="7">
        <f>DATE(IF(MID(B26,8,1)&gt;"2","20","19")&amp;MID(B26,1,2),MID(B26,3,2),MID(B26,5,2))</f>
        <v>25042</v>
      </c>
    </row>
    <row r="27" spans="1:10">
      <c r="A27" s="4" t="s">
        <v>128</v>
      </c>
      <c r="B27" s="4" t="s">
        <v>129</v>
      </c>
      <c r="C27" s="4">
        <v>3</v>
      </c>
      <c r="D27" s="4" t="str">
        <f t="shared" ref="D27:D31" si="2">IF(MOD(MID(B27,8,1),2)=1,"남자","여자")</f>
        <v>남자</v>
      </c>
      <c r="E27" s="7">
        <f t="shared" ref="E27:E31" si="3">DATE(IF(MID(B27,8,1)&gt;"2","20","19")&amp;MID(B27,1,2),MID(B27,3,2),MID(B27,5,2))</f>
        <v>36916</v>
      </c>
    </row>
    <row r="28" spans="1:10">
      <c r="A28" s="4" t="s">
        <v>130</v>
      </c>
      <c r="B28" s="4" t="s">
        <v>131</v>
      </c>
      <c r="C28" s="4">
        <v>2</v>
      </c>
      <c r="D28" s="4" t="str">
        <f t="shared" si="2"/>
        <v>여자</v>
      </c>
      <c r="E28" s="7">
        <f t="shared" si="3"/>
        <v>27718</v>
      </c>
    </row>
    <row r="29" spans="1:10">
      <c r="A29" s="4" t="s">
        <v>132</v>
      </c>
      <c r="B29" s="4" t="s">
        <v>133</v>
      </c>
      <c r="C29" s="4">
        <v>5</v>
      </c>
      <c r="D29" s="4" t="str">
        <f t="shared" si="2"/>
        <v>남자</v>
      </c>
      <c r="E29" s="7">
        <f t="shared" si="3"/>
        <v>28489</v>
      </c>
    </row>
    <row r="30" spans="1:10">
      <c r="A30" s="4" t="s">
        <v>134</v>
      </c>
      <c r="B30" s="4" t="s">
        <v>135</v>
      </c>
      <c r="C30" s="4">
        <v>3</v>
      </c>
      <c r="D30" s="4" t="str">
        <f t="shared" si="2"/>
        <v>남자</v>
      </c>
      <c r="E30" s="7">
        <f t="shared" si="3"/>
        <v>28994</v>
      </c>
    </row>
    <row r="31" spans="1:10">
      <c r="A31" s="4" t="s">
        <v>136</v>
      </c>
      <c r="B31" s="4" t="s">
        <v>137</v>
      </c>
      <c r="C31" s="4">
        <v>6</v>
      </c>
      <c r="D31" s="4" t="str">
        <f t="shared" si="2"/>
        <v>여자</v>
      </c>
      <c r="E31" s="7">
        <f t="shared" si="3"/>
        <v>37078</v>
      </c>
    </row>
  </sheetData>
  <mergeCells count="1">
    <mergeCell ref="A22:B22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9"/>
  <sheetViews>
    <sheetView tabSelected="1" workbookViewId="0">
      <selection activeCell="C13" sqref="C13"/>
    </sheetView>
  </sheetViews>
  <sheetFormatPr defaultRowHeight="17.399999999999999"/>
  <cols>
    <col min="1" max="1" width="10.19921875" bestFit="1" customWidth="1"/>
    <col min="2" max="2" width="11" bestFit="1" customWidth="1"/>
    <col min="3" max="3" width="14.09765625" bestFit="1" customWidth="1"/>
    <col min="4" max="4" width="11" bestFit="1" customWidth="1"/>
    <col min="9" max="10" width="10.796875" bestFit="1" customWidth="1"/>
  </cols>
  <sheetData>
    <row r="1" spans="1:10">
      <c r="A1" s="1" t="s">
        <v>559</v>
      </c>
      <c r="F1" s="2" t="s">
        <v>487</v>
      </c>
    </row>
    <row r="2" spans="1:10">
      <c r="A2" s="4" t="s">
        <v>499</v>
      </c>
      <c r="B2" s="4" t="s">
        <v>122</v>
      </c>
      <c r="C2" s="4" t="s">
        <v>560</v>
      </c>
      <c r="D2" s="4" t="s">
        <v>495</v>
      </c>
      <c r="F2" s="4" t="s">
        <v>122</v>
      </c>
      <c r="G2" s="4" t="s">
        <v>468</v>
      </c>
      <c r="H2" s="4" t="s">
        <v>326</v>
      </c>
      <c r="I2" s="4" t="s">
        <v>327</v>
      </c>
      <c r="J2" s="4" t="s">
        <v>561</v>
      </c>
    </row>
    <row r="3" spans="1:10">
      <c r="A3" s="4" t="s">
        <v>562</v>
      </c>
      <c r="B3" s="4" t="s">
        <v>563</v>
      </c>
      <c r="C3" s="13">
        <v>28561500</v>
      </c>
      <c r="D3" s="4"/>
      <c r="F3" s="4" t="s">
        <v>564</v>
      </c>
      <c r="G3" s="4" t="s">
        <v>172</v>
      </c>
      <c r="H3" s="4" t="s">
        <v>494</v>
      </c>
      <c r="I3" s="13">
        <v>3560000</v>
      </c>
      <c r="J3" s="13">
        <v>2512000</v>
      </c>
    </row>
    <row r="4" spans="1:10">
      <c r="A4" s="4" t="s">
        <v>565</v>
      </c>
      <c r="B4" s="4" t="s">
        <v>566</v>
      </c>
      <c r="C4" s="13">
        <v>38651200</v>
      </c>
      <c r="D4" s="4"/>
      <c r="F4" s="4" t="s">
        <v>567</v>
      </c>
      <c r="G4" s="4" t="s">
        <v>498</v>
      </c>
      <c r="H4" s="4" t="s">
        <v>373</v>
      </c>
      <c r="I4" s="13">
        <v>3256000</v>
      </c>
      <c r="J4" s="13">
        <v>1826000</v>
      </c>
    </row>
    <row r="5" spans="1:10">
      <c r="A5" s="4" t="s">
        <v>331</v>
      </c>
      <c r="B5" s="4" t="s">
        <v>568</v>
      </c>
      <c r="C5" s="13">
        <v>19560000</v>
      </c>
      <c r="D5" s="4"/>
      <c r="F5" s="4" t="s">
        <v>569</v>
      </c>
      <c r="G5" s="4" t="s">
        <v>346</v>
      </c>
      <c r="H5" s="4" t="s">
        <v>371</v>
      </c>
      <c r="I5" s="13">
        <v>2560000</v>
      </c>
      <c r="J5" s="13">
        <v>1282000</v>
      </c>
    </row>
    <row r="6" spans="1:10">
      <c r="A6" s="4" t="s">
        <v>333</v>
      </c>
      <c r="B6" s="4" t="s">
        <v>570</v>
      </c>
      <c r="C6" s="13">
        <v>32470000</v>
      </c>
      <c r="D6" s="4"/>
      <c r="F6" s="4" t="s">
        <v>571</v>
      </c>
      <c r="G6" s="4" t="s">
        <v>498</v>
      </c>
      <c r="H6" s="4" t="s">
        <v>379</v>
      </c>
      <c r="I6" s="13">
        <v>3075000</v>
      </c>
      <c r="J6" s="13">
        <v>1568000</v>
      </c>
    </row>
    <row r="7" spans="1:10">
      <c r="A7" s="4" t="s">
        <v>565</v>
      </c>
      <c r="B7" s="4" t="s">
        <v>572</v>
      </c>
      <c r="C7" s="13">
        <v>56587200</v>
      </c>
      <c r="D7" s="4" t="s">
        <v>573</v>
      </c>
      <c r="F7" s="4" t="s">
        <v>574</v>
      </c>
      <c r="G7" s="4" t="s">
        <v>498</v>
      </c>
      <c r="H7" s="4" t="s">
        <v>575</v>
      </c>
      <c r="I7" s="13">
        <v>2856000</v>
      </c>
      <c r="J7" s="13">
        <v>1240000</v>
      </c>
    </row>
    <row r="8" spans="1:10">
      <c r="A8" s="4" t="s">
        <v>331</v>
      </c>
      <c r="B8" s="4" t="s">
        <v>576</v>
      </c>
      <c r="C8" s="13">
        <v>36521700</v>
      </c>
      <c r="D8" s="4"/>
      <c r="F8" s="4" t="s">
        <v>577</v>
      </c>
      <c r="G8" s="4" t="s">
        <v>172</v>
      </c>
      <c r="H8" s="4" t="s">
        <v>371</v>
      </c>
      <c r="I8" s="13">
        <v>2473000</v>
      </c>
      <c r="J8" s="13">
        <v>1195000</v>
      </c>
    </row>
    <row r="9" spans="1:10">
      <c r="A9" s="4" t="s">
        <v>562</v>
      </c>
      <c r="B9" s="4" t="s">
        <v>578</v>
      </c>
      <c r="C9" s="13">
        <v>52438600</v>
      </c>
      <c r="D9" s="4" t="s">
        <v>579</v>
      </c>
      <c r="F9" s="4" t="s">
        <v>580</v>
      </c>
      <c r="G9" s="4" t="s">
        <v>346</v>
      </c>
      <c r="H9" s="4" t="s">
        <v>371</v>
      </c>
      <c r="I9" s="13">
        <v>2372000</v>
      </c>
      <c r="J9" s="13">
        <v>1153000</v>
      </c>
    </row>
    <row r="10" spans="1:10">
      <c r="A10" s="4" t="s">
        <v>333</v>
      </c>
      <c r="B10" s="4" t="s">
        <v>581</v>
      </c>
      <c r="C10" s="13">
        <v>37542300</v>
      </c>
      <c r="D10" s="4"/>
      <c r="F10" s="4" t="s">
        <v>582</v>
      </c>
      <c r="G10" s="4" t="s">
        <v>172</v>
      </c>
      <c r="H10" s="4" t="s">
        <v>575</v>
      </c>
      <c r="I10" s="13">
        <v>2903000</v>
      </c>
      <c r="J10" s="13">
        <v>1200000</v>
      </c>
    </row>
    <row r="12" spans="1:10">
      <c r="A12" s="4" t="s">
        <v>1192</v>
      </c>
      <c r="C12" s="11" t="s">
        <v>583</v>
      </c>
      <c r="F12" s="45" t="s">
        <v>584</v>
      </c>
      <c r="G12" s="42"/>
      <c r="H12" s="42"/>
      <c r="I12" s="42"/>
      <c r="J12" s="43"/>
    </row>
    <row r="13" spans="1:10">
      <c r="A13" s="4" t="s">
        <v>977</v>
      </c>
      <c r="C13" s="5">
        <f>ROUNDUP(DSUM(A2:C10,C2,A12:A13),3)</f>
        <v>81000100</v>
      </c>
      <c r="F13" s="42"/>
      <c r="G13" s="42"/>
      <c r="H13" s="42"/>
      <c r="I13" s="42"/>
      <c r="J13" s="43"/>
    </row>
    <row r="15" spans="1:10">
      <c r="A15" s="2" t="s">
        <v>585</v>
      </c>
      <c r="F15" s="2" t="s">
        <v>484</v>
      </c>
    </row>
    <row r="16" spans="1:10">
      <c r="A16" s="4" t="s">
        <v>402</v>
      </c>
      <c r="B16" s="4" t="s">
        <v>122</v>
      </c>
      <c r="C16" s="4" t="s">
        <v>123</v>
      </c>
      <c r="D16" s="11" t="s">
        <v>586</v>
      </c>
      <c r="F16" s="4" t="s">
        <v>122</v>
      </c>
      <c r="G16" s="4" t="s">
        <v>587</v>
      </c>
      <c r="H16" s="4" t="s">
        <v>588</v>
      </c>
      <c r="I16" s="4" t="s">
        <v>139</v>
      </c>
      <c r="J16" s="11" t="s">
        <v>589</v>
      </c>
    </row>
    <row r="17" spans="1:10">
      <c r="A17" s="4" t="s">
        <v>590</v>
      </c>
      <c r="B17" s="4" t="s">
        <v>591</v>
      </c>
      <c r="C17" s="4" t="s">
        <v>592</v>
      </c>
      <c r="D17" s="4"/>
      <c r="F17" s="4" t="s">
        <v>593</v>
      </c>
      <c r="G17" s="4">
        <v>82</v>
      </c>
      <c r="H17" s="4">
        <v>94</v>
      </c>
      <c r="I17" s="4">
        <v>176</v>
      </c>
      <c r="J17" s="4"/>
    </row>
    <row r="18" spans="1:10">
      <c r="A18" s="4" t="s">
        <v>594</v>
      </c>
      <c r="B18" s="4" t="s">
        <v>595</v>
      </c>
      <c r="C18" s="4" t="s">
        <v>596</v>
      </c>
      <c r="D18" s="4"/>
      <c r="F18" s="4" t="s">
        <v>597</v>
      </c>
      <c r="G18" s="4">
        <v>63</v>
      </c>
      <c r="H18" s="4">
        <v>83</v>
      </c>
      <c r="I18" s="4">
        <v>146</v>
      </c>
      <c r="J18" s="4"/>
    </row>
    <row r="19" spans="1:10">
      <c r="A19" s="4" t="s">
        <v>598</v>
      </c>
      <c r="B19" s="4" t="s">
        <v>599</v>
      </c>
      <c r="C19" s="4" t="s">
        <v>600</v>
      </c>
      <c r="D19" s="4"/>
      <c r="F19" s="4" t="s">
        <v>601</v>
      </c>
      <c r="G19" s="4">
        <v>76</v>
      </c>
      <c r="H19" s="4">
        <v>86</v>
      </c>
      <c r="I19" s="4">
        <v>162</v>
      </c>
      <c r="J19" s="4"/>
    </row>
    <row r="20" spans="1:10">
      <c r="A20" s="4" t="s">
        <v>602</v>
      </c>
      <c r="B20" s="4" t="s">
        <v>603</v>
      </c>
      <c r="C20" s="4" t="s">
        <v>604</v>
      </c>
      <c r="D20" s="4"/>
      <c r="F20" s="4" t="s">
        <v>605</v>
      </c>
      <c r="G20" s="4">
        <v>62</v>
      </c>
      <c r="H20" s="4">
        <v>88</v>
      </c>
      <c r="I20" s="4">
        <v>150</v>
      </c>
      <c r="J20" s="4"/>
    </row>
    <row r="21" spans="1:10">
      <c r="A21" s="4" t="s">
        <v>606</v>
      </c>
      <c r="B21" s="4" t="s">
        <v>607</v>
      </c>
      <c r="C21" s="4" t="s">
        <v>608</v>
      </c>
      <c r="D21" s="4"/>
      <c r="F21" s="4" t="s">
        <v>609</v>
      </c>
      <c r="G21" s="4">
        <v>92</v>
      </c>
      <c r="H21" s="4">
        <v>96</v>
      </c>
      <c r="I21" s="4">
        <v>188</v>
      </c>
      <c r="J21" s="4"/>
    </row>
    <row r="22" spans="1:10">
      <c r="A22" s="4" t="s">
        <v>610</v>
      </c>
      <c r="B22" s="4" t="s">
        <v>611</v>
      </c>
      <c r="C22" s="4" t="s">
        <v>612</v>
      </c>
      <c r="D22" s="4"/>
      <c r="F22" s="4" t="s">
        <v>613</v>
      </c>
      <c r="G22" s="4">
        <v>85</v>
      </c>
      <c r="H22" s="4">
        <v>80</v>
      </c>
      <c r="I22" s="4">
        <v>165</v>
      </c>
      <c r="J22" s="4"/>
    </row>
    <row r="23" spans="1:10">
      <c r="A23" s="4" t="s">
        <v>614</v>
      </c>
      <c r="B23" s="4" t="s">
        <v>615</v>
      </c>
      <c r="C23" s="4" t="s">
        <v>616</v>
      </c>
      <c r="D23" s="4"/>
      <c r="F23" s="4" t="s">
        <v>617</v>
      </c>
      <c r="G23" s="4">
        <v>62</v>
      </c>
      <c r="H23" s="4">
        <v>77</v>
      </c>
      <c r="I23" s="4">
        <v>139</v>
      </c>
      <c r="J23" s="4"/>
    </row>
    <row r="24" spans="1:10">
      <c r="A24" s="4" t="s">
        <v>618</v>
      </c>
      <c r="B24" s="4" t="s">
        <v>619</v>
      </c>
      <c r="C24" s="4" t="s">
        <v>620</v>
      </c>
      <c r="D24" s="4"/>
      <c r="F24" s="4" t="s">
        <v>621</v>
      </c>
      <c r="G24" s="4">
        <v>73</v>
      </c>
      <c r="H24" s="4">
        <v>68</v>
      </c>
      <c r="I24" s="4">
        <v>141</v>
      </c>
      <c r="J24" s="4"/>
    </row>
    <row r="27" spans="1:10">
      <c r="A27" s="2" t="s">
        <v>622</v>
      </c>
    </row>
    <row r="28" spans="1:10">
      <c r="A28" s="4" t="s">
        <v>623</v>
      </c>
      <c r="B28" s="4" t="s">
        <v>122</v>
      </c>
      <c r="C28" s="4" t="s">
        <v>624</v>
      </c>
      <c r="D28" s="11" t="s">
        <v>625</v>
      </c>
    </row>
    <row r="29" spans="1:10">
      <c r="A29" s="4" t="s">
        <v>626</v>
      </c>
      <c r="B29" s="4" t="s">
        <v>627</v>
      </c>
      <c r="C29" s="4" t="s">
        <v>628</v>
      </c>
      <c r="D29" s="4"/>
    </row>
    <row r="30" spans="1:10">
      <c r="A30" s="4" t="s">
        <v>629</v>
      </c>
      <c r="B30" s="4" t="s">
        <v>630</v>
      </c>
      <c r="C30" s="4" t="s">
        <v>631</v>
      </c>
      <c r="D30" s="4"/>
    </row>
    <row r="31" spans="1:10">
      <c r="A31" s="4" t="s">
        <v>632</v>
      </c>
      <c r="B31" s="4" t="s">
        <v>633</v>
      </c>
      <c r="C31" s="4" t="s">
        <v>634</v>
      </c>
      <c r="D31" s="4"/>
    </row>
    <row r="32" spans="1:10">
      <c r="A32" s="4" t="s">
        <v>635</v>
      </c>
      <c r="B32" s="4" t="s">
        <v>636</v>
      </c>
      <c r="C32" s="4" t="s">
        <v>637</v>
      </c>
      <c r="D32" s="4"/>
    </row>
    <row r="33" spans="1:4">
      <c r="A33" s="4" t="s">
        <v>638</v>
      </c>
      <c r="B33" s="4" t="s">
        <v>639</v>
      </c>
      <c r="C33" s="4" t="s">
        <v>640</v>
      </c>
      <c r="D33" s="4"/>
    </row>
    <row r="34" spans="1:4">
      <c r="A34" s="4" t="s">
        <v>641</v>
      </c>
      <c r="B34" s="4" t="s">
        <v>642</v>
      </c>
      <c r="C34" s="4" t="s">
        <v>643</v>
      </c>
      <c r="D34" s="4"/>
    </row>
    <row r="35" spans="1:4">
      <c r="A35" s="4" t="s">
        <v>644</v>
      </c>
      <c r="B35" s="4" t="s">
        <v>645</v>
      </c>
      <c r="C35" s="4" t="s">
        <v>646</v>
      </c>
      <c r="D35" s="4"/>
    </row>
    <row r="36" spans="1:4">
      <c r="A36" s="4" t="s">
        <v>647</v>
      </c>
      <c r="B36" s="4" t="s">
        <v>648</v>
      </c>
      <c r="C36" s="4" t="s">
        <v>649</v>
      </c>
      <c r="D36" s="4"/>
    </row>
    <row r="38" spans="1:4">
      <c r="A38" s="4" t="s">
        <v>650</v>
      </c>
      <c r="B38" s="4" t="s">
        <v>501</v>
      </c>
      <c r="C38" s="4" t="s">
        <v>69</v>
      </c>
      <c r="D38" s="4" t="s">
        <v>502</v>
      </c>
    </row>
    <row r="39" spans="1:4">
      <c r="A39" s="4" t="s">
        <v>651</v>
      </c>
      <c r="B39" s="4" t="s">
        <v>652</v>
      </c>
      <c r="C39" s="4" t="s">
        <v>653</v>
      </c>
      <c r="D39" s="4" t="s">
        <v>654</v>
      </c>
    </row>
  </sheetData>
  <mergeCells count="2">
    <mergeCell ref="F12:I13"/>
    <mergeCell ref="J12:J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34"/>
  <sheetViews>
    <sheetView topLeftCell="A16" workbookViewId="0">
      <selection activeCell="D27" sqref="D27:D34"/>
    </sheetView>
  </sheetViews>
  <sheetFormatPr defaultRowHeight="17.399999999999999"/>
  <cols>
    <col min="1" max="1" width="11.09765625" bestFit="1" customWidth="1"/>
    <col min="2" max="7" width="9" customWidth="1"/>
    <col min="8" max="8" width="9.09765625" bestFit="1" customWidth="1"/>
    <col min="9" max="9" width="16" bestFit="1" customWidth="1"/>
    <col min="10" max="10" width="10.19921875" bestFit="1" customWidth="1"/>
  </cols>
  <sheetData>
    <row r="1" spans="1:10">
      <c r="A1" s="1" t="s">
        <v>0</v>
      </c>
      <c r="B1" s="8" t="s">
        <v>1146</v>
      </c>
      <c r="C1" s="8"/>
      <c r="D1" s="8"/>
      <c r="E1" s="8"/>
      <c r="G1" s="2" t="s">
        <v>1</v>
      </c>
      <c r="H1" s="8" t="s">
        <v>1147</v>
      </c>
      <c r="I1" s="8"/>
    </row>
    <row r="2" spans="1:10">
      <c r="A2" s="4" t="s">
        <v>1148</v>
      </c>
      <c r="B2" s="4" t="s">
        <v>1149</v>
      </c>
      <c r="C2" s="4" t="s">
        <v>1150</v>
      </c>
      <c r="D2" s="4" t="s">
        <v>1151</v>
      </c>
      <c r="E2" s="11" t="s">
        <v>1152</v>
      </c>
      <c r="G2" s="4" t="s">
        <v>1153</v>
      </c>
      <c r="H2" s="4" t="s">
        <v>1154</v>
      </c>
      <c r="I2" s="11" t="s">
        <v>1155</v>
      </c>
    </row>
    <row r="3" spans="1:10">
      <c r="A3" s="4" t="s">
        <v>1156</v>
      </c>
      <c r="B3" s="4" t="s">
        <v>1157</v>
      </c>
      <c r="C3" s="4" t="s">
        <v>1157</v>
      </c>
      <c r="D3" s="4" t="s">
        <v>1158</v>
      </c>
      <c r="E3" s="4" t="str">
        <f>IF(COUNTBLANK(B3:D3)=0,"개근","")</f>
        <v>개근</v>
      </c>
      <c r="G3" s="4" t="s">
        <v>1159</v>
      </c>
      <c r="H3" s="4" t="s">
        <v>1160</v>
      </c>
      <c r="I3" s="4" t="str">
        <f>UPPER(G3)&amp;"("&amp;LOWER(H3)&amp;")"</f>
        <v>KOREA(seoul)</v>
      </c>
    </row>
    <row r="4" spans="1:10">
      <c r="A4" s="4" t="s">
        <v>1161</v>
      </c>
      <c r="B4" s="4" t="s">
        <v>1162</v>
      </c>
      <c r="C4" s="4" t="s">
        <v>1162</v>
      </c>
      <c r="D4" s="4" t="s">
        <v>1162</v>
      </c>
      <c r="E4" s="4" t="str">
        <f t="shared" ref="E4:E12" si="0">IF(COUNTBLANK(B4:D4)=0,"개근","")</f>
        <v>개근</v>
      </c>
      <c r="G4" s="4" t="s">
        <v>1163</v>
      </c>
      <c r="H4" s="4" t="s">
        <v>1164</v>
      </c>
      <c r="I4" s="4" t="str">
        <f t="shared" ref="I4:I12" si="1">UPPER(G4)&amp;"("&amp;LOWER(H4)&amp;")"</f>
        <v>GREECE(athens)</v>
      </c>
    </row>
    <row r="5" spans="1:10">
      <c r="A5" s="4" t="s">
        <v>1165</v>
      </c>
      <c r="B5" s="4"/>
      <c r="C5" s="4" t="s">
        <v>1162</v>
      </c>
      <c r="D5" s="4" t="s">
        <v>1162</v>
      </c>
      <c r="E5" s="4" t="str">
        <f t="shared" si="0"/>
        <v/>
      </c>
      <c r="G5" s="4" t="s">
        <v>1166</v>
      </c>
      <c r="H5" s="4" t="s">
        <v>1167</v>
      </c>
      <c r="I5" s="4" t="str">
        <f t="shared" si="1"/>
        <v>GHANA(accra)</v>
      </c>
    </row>
    <row r="6" spans="1:10">
      <c r="A6" s="4" t="s">
        <v>1168</v>
      </c>
      <c r="B6" s="4" t="s">
        <v>1162</v>
      </c>
      <c r="C6" s="4" t="s">
        <v>1162</v>
      </c>
      <c r="D6" s="4" t="s">
        <v>1162</v>
      </c>
      <c r="E6" s="4" t="str">
        <f t="shared" si="0"/>
        <v>개근</v>
      </c>
      <c r="G6" s="4" t="s">
        <v>1169</v>
      </c>
      <c r="H6" s="4" t="s">
        <v>1170</v>
      </c>
      <c r="I6" s="4" t="str">
        <f t="shared" si="1"/>
        <v>JAPAN(tokyo)</v>
      </c>
    </row>
    <row r="7" spans="1:10">
      <c r="A7" s="4" t="s">
        <v>1171</v>
      </c>
      <c r="B7" s="4" t="s">
        <v>1162</v>
      </c>
      <c r="C7" s="4"/>
      <c r="D7" s="4" t="s">
        <v>1162</v>
      </c>
      <c r="E7" s="4" t="str">
        <f t="shared" si="0"/>
        <v/>
      </c>
      <c r="G7" s="4" t="s">
        <v>1172</v>
      </c>
      <c r="H7" s="4" t="s">
        <v>1173</v>
      </c>
      <c r="I7" s="4" t="str">
        <f t="shared" si="1"/>
        <v>FRANCE(paris)</v>
      </c>
    </row>
    <row r="8" spans="1:10">
      <c r="A8" s="4" t="s">
        <v>1174</v>
      </c>
      <c r="B8" s="4" t="s">
        <v>1162</v>
      </c>
      <c r="C8" s="4" t="s">
        <v>1162</v>
      </c>
      <c r="D8" s="4" t="s">
        <v>1162</v>
      </c>
      <c r="E8" s="4" t="str">
        <f t="shared" si="0"/>
        <v>개근</v>
      </c>
      <c r="G8" s="4" t="s">
        <v>1175</v>
      </c>
      <c r="H8" s="4" t="s">
        <v>1176</v>
      </c>
      <c r="I8" s="4" t="str">
        <f t="shared" si="1"/>
        <v>BRAZIL(brasilia)</v>
      </c>
    </row>
    <row r="9" spans="1:10">
      <c r="A9" s="4" t="s">
        <v>1177</v>
      </c>
      <c r="B9" s="4" t="s">
        <v>1162</v>
      </c>
      <c r="C9" s="4" t="s">
        <v>1162</v>
      </c>
      <c r="D9" s="4" t="s">
        <v>1162</v>
      </c>
      <c r="E9" s="4" t="str">
        <f t="shared" si="0"/>
        <v>개근</v>
      </c>
      <c r="G9" s="4" t="s">
        <v>1178</v>
      </c>
      <c r="H9" s="4" t="s">
        <v>1179</v>
      </c>
      <c r="I9" s="4" t="str">
        <f t="shared" si="1"/>
        <v>CHILE(santiago)</v>
      </c>
    </row>
    <row r="10" spans="1:10">
      <c r="A10" s="4" t="s">
        <v>1180</v>
      </c>
      <c r="B10" s="4" t="s">
        <v>1162</v>
      </c>
      <c r="C10" s="4" t="s">
        <v>1162</v>
      </c>
      <c r="D10" s="4" t="s">
        <v>1162</v>
      </c>
      <c r="E10" s="4" t="str">
        <f t="shared" si="0"/>
        <v>개근</v>
      </c>
      <c r="G10" s="4" t="s">
        <v>1181</v>
      </c>
      <c r="H10" s="4" t="s">
        <v>1182</v>
      </c>
      <c r="I10" s="4" t="str">
        <f t="shared" si="1"/>
        <v>RUSSIA(moskva)</v>
      </c>
    </row>
    <row r="11" spans="1:10">
      <c r="A11" s="4" t="s">
        <v>1183</v>
      </c>
      <c r="B11" s="4"/>
      <c r="C11" s="4" t="s">
        <v>1162</v>
      </c>
      <c r="D11" s="4"/>
      <c r="E11" s="4" t="str">
        <f t="shared" si="0"/>
        <v/>
      </c>
      <c r="G11" s="4" t="s">
        <v>1184</v>
      </c>
      <c r="H11" s="4" t="s">
        <v>1185</v>
      </c>
      <c r="I11" s="4" t="str">
        <f t="shared" si="1"/>
        <v>TAIWAN(taipei)</v>
      </c>
    </row>
    <row r="12" spans="1:10">
      <c r="A12" s="4" t="s">
        <v>1186</v>
      </c>
      <c r="B12" s="4" t="s">
        <v>1162</v>
      </c>
      <c r="C12" s="4" t="s">
        <v>1162</v>
      </c>
      <c r="D12" s="4" t="s">
        <v>1162</v>
      </c>
      <c r="E12" s="4" t="str">
        <f t="shared" si="0"/>
        <v>개근</v>
      </c>
      <c r="G12" s="4" t="s">
        <v>1187</v>
      </c>
      <c r="H12" s="4" t="s">
        <v>1188</v>
      </c>
      <c r="I12" s="4" t="str">
        <f t="shared" si="1"/>
        <v>EGYPT(cairo)</v>
      </c>
    </row>
    <row r="14" spans="1:10">
      <c r="A14" s="2" t="s">
        <v>100</v>
      </c>
      <c r="B14" s="8" t="s">
        <v>1189</v>
      </c>
      <c r="C14" s="8"/>
      <c r="G14" s="2" t="s">
        <v>98</v>
      </c>
      <c r="H14" s="8" t="s">
        <v>1190</v>
      </c>
      <c r="I14" s="8"/>
      <c r="J14" s="8"/>
    </row>
    <row r="15" spans="1:10">
      <c r="A15" s="4" t="s">
        <v>1191</v>
      </c>
      <c r="B15" s="4" t="s">
        <v>1192</v>
      </c>
      <c r="C15" s="4" t="s">
        <v>1193</v>
      </c>
      <c r="G15" s="4" t="s">
        <v>1194</v>
      </c>
      <c r="H15" s="4" t="s">
        <v>1195</v>
      </c>
      <c r="I15" s="4" t="s">
        <v>1196</v>
      </c>
      <c r="J15" s="4" t="s">
        <v>1197</v>
      </c>
    </row>
    <row r="16" spans="1:10">
      <c r="A16" s="4" t="s">
        <v>1198</v>
      </c>
      <c r="B16" s="4" t="s">
        <v>1199</v>
      </c>
      <c r="C16" s="13">
        <v>800</v>
      </c>
      <c r="G16" s="4" t="s">
        <v>1200</v>
      </c>
      <c r="H16" s="4">
        <v>67</v>
      </c>
      <c r="I16" s="13">
        <v>82410</v>
      </c>
      <c r="J16" s="13" t="s">
        <v>1201</v>
      </c>
    </row>
    <row r="17" spans="1:10">
      <c r="A17" s="4" t="s">
        <v>1198</v>
      </c>
      <c r="B17" s="4" t="s">
        <v>1202</v>
      </c>
      <c r="C17" s="13">
        <v>950</v>
      </c>
      <c r="G17" s="4" t="s">
        <v>1203</v>
      </c>
      <c r="H17" s="4">
        <v>86</v>
      </c>
      <c r="I17" s="13">
        <v>105780</v>
      </c>
      <c r="J17" s="13" t="s">
        <v>141</v>
      </c>
    </row>
    <row r="18" spans="1:10">
      <c r="A18" s="4" t="s">
        <v>1198</v>
      </c>
      <c r="B18" s="4" t="s">
        <v>1204</v>
      </c>
      <c r="C18" s="13">
        <v>1000</v>
      </c>
      <c r="G18" s="4" t="s">
        <v>1205</v>
      </c>
      <c r="H18" s="4">
        <v>16</v>
      </c>
      <c r="I18" s="13">
        <v>19680</v>
      </c>
      <c r="J18" s="13" t="s">
        <v>142</v>
      </c>
    </row>
    <row r="19" spans="1:10">
      <c r="A19" s="4" t="s">
        <v>1206</v>
      </c>
      <c r="B19" s="4" t="s">
        <v>1199</v>
      </c>
      <c r="C19" s="13">
        <v>850</v>
      </c>
      <c r="G19" s="4" t="s">
        <v>1207</v>
      </c>
      <c r="H19" s="4">
        <v>150</v>
      </c>
      <c r="I19" s="13">
        <v>184500</v>
      </c>
      <c r="J19" s="13" t="s">
        <v>143</v>
      </c>
    </row>
    <row r="20" spans="1:10">
      <c r="A20" s="4" t="s">
        <v>1206</v>
      </c>
      <c r="B20" s="4" t="s">
        <v>1202</v>
      </c>
      <c r="C20" s="13">
        <v>700</v>
      </c>
      <c r="G20" s="4" t="s">
        <v>1208</v>
      </c>
      <c r="H20" s="4">
        <v>99</v>
      </c>
      <c r="I20" s="13">
        <v>121770</v>
      </c>
      <c r="J20" s="13" t="s">
        <v>144</v>
      </c>
    </row>
    <row r="21" spans="1:10">
      <c r="A21" s="4" t="s">
        <v>1206</v>
      </c>
      <c r="B21" s="4" t="s">
        <v>1204</v>
      </c>
      <c r="C21" s="13">
        <v>650</v>
      </c>
      <c r="G21" s="4" t="s">
        <v>1203</v>
      </c>
      <c r="H21" s="4">
        <v>91</v>
      </c>
      <c r="I21" s="13">
        <v>111930</v>
      </c>
      <c r="J21" s="13" t="s">
        <v>145</v>
      </c>
    </row>
    <row r="22" spans="1:10">
      <c r="A22" s="4" t="s">
        <v>1209</v>
      </c>
      <c r="B22" s="4" t="s">
        <v>1199</v>
      </c>
      <c r="C22" s="13">
        <v>900</v>
      </c>
      <c r="D22" s="36" t="s">
        <v>1210</v>
      </c>
      <c r="E22" s="38"/>
      <c r="G22" s="4" t="s">
        <v>1200</v>
      </c>
      <c r="H22" s="4">
        <v>70</v>
      </c>
      <c r="I22" s="13">
        <v>86100</v>
      </c>
      <c r="J22" s="13" t="s">
        <v>146</v>
      </c>
    </row>
    <row r="23" spans="1:10">
      <c r="A23" s="4" t="s">
        <v>1209</v>
      </c>
      <c r="B23" s="4" t="s">
        <v>1204</v>
      </c>
      <c r="C23" s="13">
        <v>750</v>
      </c>
      <c r="D23" s="40">
        <f>COUNTIFS(B16:B23,"망원점",C16:C23,"&gt;="&amp;AVERAGE(C16:C22))</f>
        <v>2</v>
      </c>
      <c r="E23" s="41"/>
      <c r="G23" s="36" t="s">
        <v>1211</v>
      </c>
      <c r="H23" s="37"/>
      <c r="I23" s="38"/>
      <c r="J23" s="13" t="str">
        <f>VLOOKUP(LARGE(I16:I22,1),I16:J22,2,FALSE)</f>
        <v>HSP-004</v>
      </c>
    </row>
    <row r="25" spans="1:10">
      <c r="A25" s="2" t="s">
        <v>548</v>
      </c>
      <c r="B25" s="8" t="s">
        <v>1212</v>
      </c>
      <c r="C25" s="8"/>
      <c r="D25" s="8"/>
    </row>
    <row r="26" spans="1:10">
      <c r="A26" s="4" t="s">
        <v>1213</v>
      </c>
      <c r="B26" s="4" t="s">
        <v>1214</v>
      </c>
      <c r="C26" s="4" t="s">
        <v>1215</v>
      </c>
      <c r="D26" s="11" t="s">
        <v>1216</v>
      </c>
    </row>
    <row r="27" spans="1:10">
      <c r="A27" s="7">
        <v>44713</v>
      </c>
      <c r="B27" s="4">
        <v>123001</v>
      </c>
      <c r="C27" s="4" t="s">
        <v>1217</v>
      </c>
      <c r="D27" s="4" t="str">
        <f>IF(WEEKDAY(A27,2)&lt;=5,"평일","주말")</f>
        <v>평일</v>
      </c>
    </row>
    <row r="28" spans="1:10">
      <c r="A28" s="7">
        <v>44716</v>
      </c>
      <c r="B28" s="4">
        <v>123002</v>
      </c>
      <c r="C28" s="4" t="s">
        <v>1218</v>
      </c>
      <c r="D28" s="4" t="str">
        <f t="shared" ref="D28:D34" si="2">IF(WEEKDAY(A28,2)&lt;=5,"평일","주말")</f>
        <v>주말</v>
      </c>
    </row>
    <row r="29" spans="1:10">
      <c r="A29" s="7">
        <v>44719</v>
      </c>
      <c r="B29" s="4">
        <v>123003</v>
      </c>
      <c r="C29" s="4" t="s">
        <v>1219</v>
      </c>
      <c r="D29" s="4" t="str">
        <f t="shared" si="2"/>
        <v>평일</v>
      </c>
    </row>
    <row r="30" spans="1:10">
      <c r="A30" s="7">
        <v>44720</v>
      </c>
      <c r="B30" s="4">
        <v>123004</v>
      </c>
      <c r="C30" s="4" t="s">
        <v>1220</v>
      </c>
      <c r="D30" s="4" t="str">
        <f t="shared" si="2"/>
        <v>평일</v>
      </c>
    </row>
    <row r="31" spans="1:10">
      <c r="A31" s="7">
        <v>44722</v>
      </c>
      <c r="B31" s="4">
        <v>123005</v>
      </c>
      <c r="C31" s="4" t="s">
        <v>1221</v>
      </c>
      <c r="D31" s="4" t="str">
        <f t="shared" si="2"/>
        <v>평일</v>
      </c>
    </row>
    <row r="32" spans="1:10">
      <c r="A32" s="7">
        <v>44725</v>
      </c>
      <c r="B32" s="4">
        <v>123006</v>
      </c>
      <c r="C32" s="4" t="s">
        <v>1222</v>
      </c>
      <c r="D32" s="4" t="str">
        <f t="shared" si="2"/>
        <v>평일</v>
      </c>
    </row>
    <row r="33" spans="1:4">
      <c r="A33" s="7">
        <v>44726</v>
      </c>
      <c r="B33" s="4">
        <v>123007</v>
      </c>
      <c r="C33" s="4" t="s">
        <v>1223</v>
      </c>
      <c r="D33" s="4" t="str">
        <f t="shared" si="2"/>
        <v>평일</v>
      </c>
    </row>
    <row r="34" spans="1:4">
      <c r="A34" s="7">
        <v>44731</v>
      </c>
      <c r="B34" s="4">
        <v>123008</v>
      </c>
      <c r="C34" s="4" t="s">
        <v>1224</v>
      </c>
      <c r="D34" s="4" t="str">
        <f t="shared" si="2"/>
        <v>주말</v>
      </c>
    </row>
  </sheetData>
  <mergeCells count="3">
    <mergeCell ref="D22:E22"/>
    <mergeCell ref="D23:E23"/>
    <mergeCell ref="G23:I2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1"/>
  <sheetViews>
    <sheetView workbookViewId="0">
      <selection activeCell="I24" sqref="I24:I29"/>
    </sheetView>
  </sheetViews>
  <sheetFormatPr defaultRowHeight="17.399999999999999"/>
  <cols>
    <col min="1" max="1" width="9" bestFit="1" customWidth="1"/>
    <col min="2" max="2" width="10" customWidth="1"/>
    <col min="3" max="3" width="9" customWidth="1"/>
    <col min="4" max="4" width="10.796875" bestFit="1" customWidth="1"/>
    <col min="5" max="5" width="9" customWidth="1"/>
    <col min="6" max="6" width="14.69921875" bestFit="1" customWidth="1"/>
    <col min="7" max="7" width="9" customWidth="1"/>
    <col min="8" max="8" width="11.59765625" bestFit="1" customWidth="1"/>
    <col min="9" max="9" width="12.296875" bestFit="1" customWidth="1"/>
  </cols>
  <sheetData>
    <row r="1" spans="1:8">
      <c r="A1" s="1" t="s">
        <v>655</v>
      </c>
      <c r="B1" s="8" t="s">
        <v>147</v>
      </c>
      <c r="C1" s="8"/>
      <c r="E1" s="2" t="s">
        <v>1</v>
      </c>
      <c r="F1" s="8" t="s">
        <v>148</v>
      </c>
      <c r="G1" s="8"/>
    </row>
    <row r="2" spans="1:8">
      <c r="A2" s="4" t="s">
        <v>149</v>
      </c>
      <c r="B2" s="4" t="s">
        <v>126</v>
      </c>
      <c r="C2" s="11" t="s">
        <v>150</v>
      </c>
      <c r="E2" s="4" t="s">
        <v>3</v>
      </c>
      <c r="F2" s="4" t="s">
        <v>123</v>
      </c>
      <c r="G2" s="11" t="s">
        <v>125</v>
      </c>
    </row>
    <row r="3" spans="1:8">
      <c r="A3" s="4" t="s">
        <v>656</v>
      </c>
      <c r="B3" s="10">
        <v>39874</v>
      </c>
      <c r="C3" s="4" t="str">
        <f>CHOOSE(WEEKDAY(B3,2),"월요일","화요일","수요일","목요일","금요일","토요일","일요일")</f>
        <v>월요일</v>
      </c>
      <c r="E3" s="4" t="s">
        <v>151</v>
      </c>
      <c r="F3" s="4" t="s">
        <v>657</v>
      </c>
      <c r="G3" s="4" t="str">
        <f>IF(OR(MID(F3,8,1)="1",MID(F3,8,1)="3"),"남","여")</f>
        <v>여</v>
      </c>
    </row>
    <row r="4" spans="1:8">
      <c r="A4" s="4" t="s">
        <v>152</v>
      </c>
      <c r="B4" s="10">
        <v>38082</v>
      </c>
      <c r="C4" s="4" t="str">
        <f t="shared" ref="C4:C9" si="0">CHOOSE(WEEKDAY(B4,2),"월요일","화요일","수요일","목요일","금요일","토요일","일요일")</f>
        <v>월요일</v>
      </c>
      <c r="E4" s="4" t="s">
        <v>153</v>
      </c>
      <c r="F4" s="4" t="s">
        <v>658</v>
      </c>
      <c r="G4" s="4" t="str">
        <f t="shared" ref="G4:G9" si="1">IF(OR(MID(F4,8,1)="1",MID(F4,8,1)="3"),"남","여")</f>
        <v>여</v>
      </c>
    </row>
    <row r="5" spans="1:8">
      <c r="A5" s="4" t="s">
        <v>154</v>
      </c>
      <c r="B5" s="10">
        <v>39573</v>
      </c>
      <c r="C5" s="4" t="str">
        <f t="shared" si="0"/>
        <v>월요일</v>
      </c>
      <c r="E5" s="4" t="s">
        <v>155</v>
      </c>
      <c r="F5" s="4" t="s">
        <v>659</v>
      </c>
      <c r="G5" s="4" t="str">
        <f t="shared" si="1"/>
        <v>남</v>
      </c>
    </row>
    <row r="6" spans="1:8">
      <c r="A6" s="4" t="s">
        <v>156</v>
      </c>
      <c r="B6" s="10">
        <v>38472</v>
      </c>
      <c r="C6" s="4" t="str">
        <f t="shared" si="0"/>
        <v>토요일</v>
      </c>
      <c r="E6" s="4" t="s">
        <v>157</v>
      </c>
      <c r="F6" s="4" t="s">
        <v>660</v>
      </c>
      <c r="G6" s="4" t="str">
        <f t="shared" si="1"/>
        <v>남</v>
      </c>
    </row>
    <row r="7" spans="1:8">
      <c r="A7" s="4" t="s">
        <v>158</v>
      </c>
      <c r="B7" s="10">
        <v>39340</v>
      </c>
      <c r="C7" s="4" t="str">
        <f t="shared" si="0"/>
        <v>토요일</v>
      </c>
      <c r="E7" s="4" t="s">
        <v>159</v>
      </c>
      <c r="F7" s="4" t="s">
        <v>661</v>
      </c>
      <c r="G7" s="4" t="str">
        <f t="shared" si="1"/>
        <v>남</v>
      </c>
    </row>
    <row r="8" spans="1:8">
      <c r="A8" s="4" t="s">
        <v>160</v>
      </c>
      <c r="B8" s="10">
        <v>40333</v>
      </c>
      <c r="C8" s="4" t="str">
        <f t="shared" si="0"/>
        <v>금요일</v>
      </c>
      <c r="E8" s="4" t="s">
        <v>161</v>
      </c>
      <c r="F8" s="4" t="s">
        <v>662</v>
      </c>
      <c r="G8" s="4" t="str">
        <f t="shared" si="1"/>
        <v>남</v>
      </c>
    </row>
    <row r="9" spans="1:8">
      <c r="A9" s="4" t="s">
        <v>162</v>
      </c>
      <c r="B9" s="10">
        <v>37863</v>
      </c>
      <c r="C9" s="4" t="str">
        <f t="shared" si="0"/>
        <v>토요일</v>
      </c>
      <c r="E9" s="4" t="s">
        <v>663</v>
      </c>
      <c r="F9" s="4" t="s">
        <v>664</v>
      </c>
      <c r="G9" s="4" t="str">
        <f t="shared" si="1"/>
        <v>남</v>
      </c>
    </row>
    <row r="11" spans="1:8">
      <c r="A11" s="2" t="s">
        <v>100</v>
      </c>
      <c r="B11" s="8" t="s">
        <v>163</v>
      </c>
      <c r="C11" s="8"/>
      <c r="D11" s="8"/>
      <c r="E11" s="8"/>
    </row>
    <row r="12" spans="1:8">
      <c r="A12" s="4" t="s">
        <v>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8">
      <c r="A13" s="4" t="s">
        <v>168</v>
      </c>
      <c r="B13" s="4" t="s">
        <v>169</v>
      </c>
      <c r="C13" s="6">
        <v>87</v>
      </c>
      <c r="D13" s="6">
        <v>65</v>
      </c>
      <c r="E13" s="6">
        <v>152</v>
      </c>
      <c r="F13" s="20" t="s">
        <v>707</v>
      </c>
      <c r="G13" s="20" t="s">
        <v>1713</v>
      </c>
      <c r="H13" s="20" t="s">
        <v>1714</v>
      </c>
    </row>
    <row r="14" spans="1:8">
      <c r="A14" s="4" t="s">
        <v>170</v>
      </c>
      <c r="B14" s="4" t="s">
        <v>14</v>
      </c>
      <c r="C14" s="6">
        <v>64</v>
      </c>
      <c r="D14" s="6">
        <v>70</v>
      </c>
      <c r="E14" s="6">
        <v>134</v>
      </c>
      <c r="F14" s="20" t="s">
        <v>1710</v>
      </c>
      <c r="G14" s="20" t="s">
        <v>1711</v>
      </c>
      <c r="H14" s="20"/>
    </row>
    <row r="15" spans="1:8">
      <c r="A15" s="4" t="s">
        <v>171</v>
      </c>
      <c r="B15" s="4" t="s">
        <v>172</v>
      </c>
      <c r="C15" s="6">
        <v>73</v>
      </c>
      <c r="D15" s="6">
        <v>60</v>
      </c>
      <c r="E15" s="6">
        <v>133</v>
      </c>
      <c r="F15" s="20" t="s">
        <v>1091</v>
      </c>
      <c r="G15" s="20"/>
      <c r="H15" s="20" t="s">
        <v>1712</v>
      </c>
    </row>
    <row r="16" spans="1:8">
      <c r="A16" s="4" t="s">
        <v>173</v>
      </c>
      <c r="B16" s="4" t="s">
        <v>169</v>
      </c>
      <c r="C16" s="6">
        <v>70</v>
      </c>
      <c r="D16" s="6">
        <v>66</v>
      </c>
      <c r="E16" s="6">
        <v>136</v>
      </c>
    </row>
    <row r="17" spans="1:9">
      <c r="A17" s="4" t="s">
        <v>174</v>
      </c>
      <c r="B17" s="4" t="s">
        <v>169</v>
      </c>
      <c r="C17" s="6">
        <v>86</v>
      </c>
      <c r="D17" s="6">
        <v>83</v>
      </c>
      <c r="E17" s="6">
        <v>169</v>
      </c>
    </row>
    <row r="18" spans="1:9">
      <c r="A18" s="4" t="s">
        <v>175</v>
      </c>
      <c r="B18" s="4" t="s">
        <v>14</v>
      </c>
      <c r="C18" s="6">
        <v>75</v>
      </c>
      <c r="D18" s="6">
        <v>78</v>
      </c>
      <c r="E18" s="6">
        <v>153</v>
      </c>
    </row>
    <row r="19" spans="1:9">
      <c r="A19" s="4" t="s">
        <v>176</v>
      </c>
      <c r="B19" s="4" t="s">
        <v>14</v>
      </c>
      <c r="C19" s="6">
        <v>70</v>
      </c>
      <c r="D19" s="6">
        <v>91</v>
      </c>
      <c r="E19" s="6">
        <v>161</v>
      </c>
      <c r="F19" s="42" t="s">
        <v>177</v>
      </c>
      <c r="G19" s="42"/>
    </row>
    <row r="20" spans="1:9">
      <c r="A20" s="4" t="s">
        <v>178</v>
      </c>
      <c r="B20" s="4" t="s">
        <v>172</v>
      </c>
      <c r="C20" s="6">
        <v>69</v>
      </c>
      <c r="D20" s="6">
        <v>60</v>
      </c>
      <c r="E20" s="6">
        <v>129</v>
      </c>
      <c r="F20" s="43">
        <f>INT(DAVERAGE(A12:E20,5,F13:H15))</f>
        <v>160</v>
      </c>
      <c r="G20" s="43"/>
    </row>
    <row r="22" spans="1:9">
      <c r="A22" s="2" t="s">
        <v>98</v>
      </c>
      <c r="B22" s="8" t="s">
        <v>665</v>
      </c>
      <c r="C22" s="8"/>
      <c r="D22" s="8"/>
      <c r="F22" s="2" t="s">
        <v>179</v>
      </c>
      <c r="G22" s="8" t="s">
        <v>180</v>
      </c>
      <c r="H22" s="8"/>
      <c r="I22" s="8"/>
    </row>
    <row r="23" spans="1:9">
      <c r="A23" s="4" t="s">
        <v>181</v>
      </c>
      <c r="B23" s="4" t="s">
        <v>666</v>
      </c>
      <c r="C23" s="4" t="s">
        <v>489</v>
      </c>
      <c r="D23" s="4" t="s">
        <v>667</v>
      </c>
      <c r="F23" s="4" t="s">
        <v>182</v>
      </c>
      <c r="G23" s="4" t="s">
        <v>183</v>
      </c>
      <c r="H23" s="4" t="s">
        <v>184</v>
      </c>
      <c r="I23" s="11" t="s">
        <v>185</v>
      </c>
    </row>
    <row r="24" spans="1:9">
      <c r="A24" s="4" t="s">
        <v>186</v>
      </c>
      <c r="B24" s="4">
        <v>8</v>
      </c>
      <c r="C24" s="4" t="s">
        <v>668</v>
      </c>
      <c r="D24" s="13">
        <v>356000</v>
      </c>
      <c r="F24" s="4" t="s">
        <v>106</v>
      </c>
      <c r="G24" s="6">
        <v>380</v>
      </c>
      <c r="H24" s="6">
        <v>12</v>
      </c>
      <c r="I24" s="13" t="str">
        <f>INT(G24/H24)&amp;"("&amp;MOD(G24,H24)&amp;")"</f>
        <v>31(8)</v>
      </c>
    </row>
    <row r="25" spans="1:9">
      <c r="A25" s="4" t="s">
        <v>187</v>
      </c>
      <c r="B25" s="4">
        <v>9</v>
      </c>
      <c r="C25" s="4" t="s">
        <v>669</v>
      </c>
      <c r="D25" s="13">
        <v>688000</v>
      </c>
      <c r="F25" s="4" t="s">
        <v>109</v>
      </c>
      <c r="G25" s="6">
        <v>375</v>
      </c>
      <c r="H25" s="6">
        <v>13</v>
      </c>
      <c r="I25" s="13" t="str">
        <f t="shared" ref="I25:I29" si="2">INT(G25/H25)&amp;"("&amp;MOD(G25,H25)&amp;")"</f>
        <v>28(11)</v>
      </c>
    </row>
    <row r="26" spans="1:9">
      <c r="A26" s="4" t="s">
        <v>189</v>
      </c>
      <c r="B26" s="4">
        <v>8</v>
      </c>
      <c r="C26" s="4" t="s">
        <v>670</v>
      </c>
      <c r="D26" s="13">
        <v>294000</v>
      </c>
      <c r="F26" s="4" t="s">
        <v>112</v>
      </c>
      <c r="G26" s="6">
        <v>350</v>
      </c>
      <c r="H26" s="6">
        <v>11</v>
      </c>
      <c r="I26" s="13" t="str">
        <f t="shared" si="2"/>
        <v>31(9)</v>
      </c>
    </row>
    <row r="27" spans="1:9">
      <c r="A27" s="4" t="s">
        <v>190</v>
      </c>
      <c r="B27" s="4">
        <v>7</v>
      </c>
      <c r="C27" s="4" t="s">
        <v>671</v>
      </c>
      <c r="D27" s="13">
        <v>321000</v>
      </c>
      <c r="F27" s="4" t="s">
        <v>114</v>
      </c>
      <c r="G27" s="6">
        <v>340</v>
      </c>
      <c r="H27" s="6">
        <v>11</v>
      </c>
      <c r="I27" s="13" t="str">
        <f t="shared" si="2"/>
        <v>30(10)</v>
      </c>
    </row>
    <row r="28" spans="1:9">
      <c r="A28" s="4" t="s">
        <v>191</v>
      </c>
      <c r="B28" s="4">
        <v>6</v>
      </c>
      <c r="C28" s="4" t="s">
        <v>672</v>
      </c>
      <c r="D28" s="13">
        <v>292000</v>
      </c>
      <c r="F28" s="4" t="s">
        <v>116</v>
      </c>
      <c r="G28" s="6">
        <v>375</v>
      </c>
      <c r="H28" s="6">
        <v>12</v>
      </c>
      <c r="I28" s="13" t="str">
        <f t="shared" si="2"/>
        <v>31(3)</v>
      </c>
    </row>
    <row r="29" spans="1:9">
      <c r="A29" s="4" t="s">
        <v>192</v>
      </c>
      <c r="B29" s="4">
        <v>8</v>
      </c>
      <c r="C29" s="4" t="s">
        <v>188</v>
      </c>
      <c r="D29" s="13">
        <v>409000</v>
      </c>
      <c r="F29" s="4" t="s">
        <v>118</v>
      </c>
      <c r="G29" s="6">
        <v>390</v>
      </c>
      <c r="H29" s="6">
        <v>13</v>
      </c>
      <c r="I29" s="13" t="str">
        <f t="shared" si="2"/>
        <v>30(0)</v>
      </c>
    </row>
    <row r="30" spans="1:9">
      <c r="A30" s="4" t="s">
        <v>193</v>
      </c>
      <c r="B30" s="4">
        <v>7</v>
      </c>
      <c r="C30" s="4" t="s">
        <v>673</v>
      </c>
      <c r="D30" s="13">
        <v>216000</v>
      </c>
    </row>
    <row r="31" spans="1:9">
      <c r="A31" s="36" t="s">
        <v>674</v>
      </c>
      <c r="B31" s="37"/>
      <c r="C31" s="38"/>
      <c r="D31" s="13">
        <f ca="1">SUMIF(B24:C31,_xlfn.MODE.SNGL(B24:D30),D24:D30)</f>
        <v>1059000</v>
      </c>
    </row>
  </sheetData>
  <mergeCells count="3">
    <mergeCell ref="A31:C31"/>
    <mergeCell ref="F19:G19"/>
    <mergeCell ref="F20:G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25" workbookViewId="0">
      <selection activeCell="E27" sqref="E27:E36"/>
    </sheetView>
  </sheetViews>
  <sheetFormatPr defaultRowHeight="17.399999999999999"/>
  <cols>
    <col min="1" max="1" width="9" customWidth="1"/>
    <col min="2" max="3" width="11" customWidth="1"/>
    <col min="4" max="5" width="9" customWidth="1"/>
    <col min="6" max="6" width="11" customWidth="1"/>
    <col min="7" max="7" width="9" customWidth="1"/>
    <col min="8" max="8" width="10.09765625" customWidth="1"/>
    <col min="9" max="11" width="9" customWidth="1"/>
    <col min="12" max="12" width="2" customWidth="1"/>
    <col min="13" max="13" width="9" customWidth="1"/>
  </cols>
  <sheetData>
    <row r="1" spans="1:13">
      <c r="A1" s="2" t="s">
        <v>0</v>
      </c>
      <c r="B1" s="8" t="s">
        <v>194</v>
      </c>
      <c r="C1" s="8"/>
      <c r="D1" s="8"/>
      <c r="E1" s="8"/>
      <c r="F1" s="8"/>
      <c r="H1" s="1" t="s">
        <v>1</v>
      </c>
      <c r="I1" s="8" t="s">
        <v>195</v>
      </c>
      <c r="J1" s="8"/>
      <c r="K1" s="8"/>
    </row>
    <row r="2" spans="1:13">
      <c r="A2" s="4" t="s">
        <v>196</v>
      </c>
      <c r="B2" s="4" t="s">
        <v>3</v>
      </c>
      <c r="C2" s="4" t="s">
        <v>197</v>
      </c>
      <c r="D2" s="4" t="s">
        <v>165</v>
      </c>
      <c r="E2" s="4" t="s">
        <v>198</v>
      </c>
      <c r="F2" s="11" t="s">
        <v>29</v>
      </c>
      <c r="H2" s="4" t="s">
        <v>4</v>
      </c>
      <c r="I2" s="4" t="s">
        <v>1225</v>
      </c>
      <c r="J2" s="4" t="s">
        <v>1226</v>
      </c>
      <c r="K2" s="4" t="s">
        <v>1227</v>
      </c>
    </row>
    <row r="3" spans="1:13">
      <c r="A3" s="4">
        <v>3</v>
      </c>
      <c r="B3" s="4" t="s">
        <v>199</v>
      </c>
      <c r="C3" s="4">
        <v>75</v>
      </c>
      <c r="D3" s="4">
        <v>73</v>
      </c>
      <c r="E3" s="4">
        <v>80</v>
      </c>
      <c r="F3" s="4" t="str">
        <f>IF(AND(C3&gt;=80,OR(D3&gt;=80,E3&gt;=80)),"합격","불합격")</f>
        <v>불합격</v>
      </c>
      <c r="H3" s="4" t="s">
        <v>200</v>
      </c>
      <c r="I3" s="4" t="s">
        <v>201</v>
      </c>
      <c r="J3" s="13">
        <v>7000</v>
      </c>
      <c r="K3" s="13">
        <v>8600</v>
      </c>
    </row>
    <row r="4" spans="1:13">
      <c r="A4" s="4">
        <v>2</v>
      </c>
      <c r="B4" s="4" t="s">
        <v>202</v>
      </c>
      <c r="C4" s="4">
        <v>79</v>
      </c>
      <c r="D4" s="4">
        <v>71</v>
      </c>
      <c r="E4" s="4">
        <v>70</v>
      </c>
      <c r="F4" s="4" t="str">
        <f t="shared" ref="F4:F12" si="0">IF(AND(C4&gt;=80,OR(D4&gt;=80,E4&gt;=80)),"합격","불합격")</f>
        <v>불합격</v>
      </c>
      <c r="H4" s="4" t="s">
        <v>203</v>
      </c>
      <c r="I4" s="4" t="s">
        <v>204</v>
      </c>
      <c r="J4" s="13">
        <v>6400</v>
      </c>
      <c r="K4" s="13">
        <v>7050</v>
      </c>
    </row>
    <row r="5" spans="1:13">
      <c r="A5" s="4">
        <v>1</v>
      </c>
      <c r="B5" s="4" t="s">
        <v>205</v>
      </c>
      <c r="C5" s="4">
        <v>71</v>
      </c>
      <c r="D5" s="4">
        <v>68</v>
      </c>
      <c r="E5" s="4">
        <v>64</v>
      </c>
      <c r="F5" s="4" t="str">
        <f t="shared" si="0"/>
        <v>불합격</v>
      </c>
      <c r="H5" s="4" t="s">
        <v>206</v>
      </c>
      <c r="I5" s="4" t="s">
        <v>207</v>
      </c>
      <c r="J5" s="13">
        <v>5500</v>
      </c>
      <c r="K5" s="13">
        <v>6700</v>
      </c>
    </row>
    <row r="6" spans="1:13">
      <c r="A6" s="4">
        <v>3</v>
      </c>
      <c r="B6" s="4" t="s">
        <v>208</v>
      </c>
      <c r="C6" s="4">
        <v>80</v>
      </c>
      <c r="D6" s="4">
        <v>82</v>
      </c>
      <c r="E6" s="4">
        <v>78</v>
      </c>
      <c r="F6" s="4" t="str">
        <f t="shared" si="0"/>
        <v>합격</v>
      </c>
      <c r="H6" s="4" t="s">
        <v>203</v>
      </c>
      <c r="I6" s="4" t="s">
        <v>209</v>
      </c>
      <c r="J6" s="13">
        <v>6100</v>
      </c>
      <c r="K6" s="13">
        <v>6000</v>
      </c>
    </row>
    <row r="7" spans="1:13">
      <c r="A7" s="4">
        <v>1</v>
      </c>
      <c r="B7" s="4" t="s">
        <v>210</v>
      </c>
      <c r="C7" s="4">
        <v>77</v>
      </c>
      <c r="D7" s="4">
        <v>75</v>
      </c>
      <c r="E7" s="4">
        <v>79</v>
      </c>
      <c r="F7" s="4" t="str">
        <f t="shared" si="0"/>
        <v>불합격</v>
      </c>
      <c r="H7" s="4" t="s">
        <v>203</v>
      </c>
      <c r="I7" s="4" t="s">
        <v>211</v>
      </c>
      <c r="J7" s="13">
        <v>6500</v>
      </c>
      <c r="K7" s="13">
        <v>6000</v>
      </c>
    </row>
    <row r="8" spans="1:13">
      <c r="A8" s="4">
        <v>2</v>
      </c>
      <c r="B8" s="4" t="s">
        <v>212</v>
      </c>
      <c r="C8" s="4">
        <v>88</v>
      </c>
      <c r="D8" s="4">
        <v>83</v>
      </c>
      <c r="E8" s="4">
        <v>79</v>
      </c>
      <c r="F8" s="4" t="str">
        <f t="shared" si="0"/>
        <v>합격</v>
      </c>
      <c r="H8" s="4" t="s">
        <v>203</v>
      </c>
      <c r="I8" s="4" t="s">
        <v>213</v>
      </c>
      <c r="J8" s="13">
        <v>5500</v>
      </c>
      <c r="K8" s="13">
        <v>5600</v>
      </c>
    </row>
    <row r="9" spans="1:13">
      <c r="A9" s="4">
        <v>1</v>
      </c>
      <c r="B9" s="4" t="s">
        <v>214</v>
      </c>
      <c r="C9" s="4">
        <v>84</v>
      </c>
      <c r="D9" s="4">
        <v>78</v>
      </c>
      <c r="E9" s="4">
        <v>70</v>
      </c>
      <c r="F9" s="4" t="str">
        <f t="shared" si="0"/>
        <v>불합격</v>
      </c>
      <c r="H9" s="4" t="s">
        <v>206</v>
      </c>
      <c r="I9" s="4" t="s">
        <v>215</v>
      </c>
      <c r="J9" s="13">
        <v>5300</v>
      </c>
      <c r="K9" s="13">
        <v>5600</v>
      </c>
    </row>
    <row r="10" spans="1:13">
      <c r="A10" s="4">
        <v>3</v>
      </c>
      <c r="B10" s="4" t="s">
        <v>170</v>
      </c>
      <c r="C10" s="4">
        <v>80</v>
      </c>
      <c r="D10" s="4">
        <v>94</v>
      </c>
      <c r="E10" s="4">
        <v>94</v>
      </c>
      <c r="F10" s="4" t="str">
        <f t="shared" si="0"/>
        <v>합격</v>
      </c>
      <c r="H10" s="4" t="s">
        <v>203</v>
      </c>
      <c r="I10" s="4" t="s">
        <v>216</v>
      </c>
      <c r="J10" s="13">
        <v>4500</v>
      </c>
      <c r="K10" s="13">
        <v>4950</v>
      </c>
    </row>
    <row r="11" spans="1:13">
      <c r="A11" s="4">
        <v>2</v>
      </c>
      <c r="B11" s="4" t="s">
        <v>171</v>
      </c>
      <c r="C11" s="4">
        <v>86</v>
      </c>
      <c r="D11" s="4">
        <v>88</v>
      </c>
      <c r="E11" s="4">
        <v>85</v>
      </c>
      <c r="F11" s="4" t="str">
        <f t="shared" si="0"/>
        <v>합격</v>
      </c>
      <c r="H11" s="4" t="s">
        <v>206</v>
      </c>
      <c r="I11" s="4" t="s">
        <v>217</v>
      </c>
      <c r="J11" s="13">
        <v>6400</v>
      </c>
      <c r="K11" s="13">
        <v>4900</v>
      </c>
      <c r="M11" s="11" t="s">
        <v>218</v>
      </c>
    </row>
    <row r="12" spans="1:13">
      <c r="A12" s="4">
        <v>3</v>
      </c>
      <c r="B12" s="4" t="s">
        <v>173</v>
      </c>
      <c r="C12" s="4">
        <v>90</v>
      </c>
      <c r="D12" s="4">
        <v>80</v>
      </c>
      <c r="E12" s="4">
        <v>91</v>
      </c>
      <c r="F12" s="4" t="str">
        <f t="shared" si="0"/>
        <v>합격</v>
      </c>
      <c r="H12" s="4" t="s">
        <v>200</v>
      </c>
      <c r="I12" s="4" t="s">
        <v>219</v>
      </c>
      <c r="J12" s="13">
        <v>4800</v>
      </c>
      <c r="K12" s="13">
        <v>5250</v>
      </c>
      <c r="M12" s="3">
        <f>LARGE(K3:K12,2)-SMALL(K3:K12,3)</f>
        <v>1800</v>
      </c>
    </row>
    <row r="14" spans="1:13">
      <c r="A14" s="2" t="s">
        <v>22</v>
      </c>
      <c r="B14" s="15" t="s">
        <v>220</v>
      </c>
      <c r="C14" s="15"/>
      <c r="H14" s="2" t="s">
        <v>1228</v>
      </c>
      <c r="I14" s="8" t="s">
        <v>1229</v>
      </c>
      <c r="J14" s="8"/>
      <c r="K14" s="8"/>
    </row>
    <row r="15" spans="1:13">
      <c r="A15" s="4" t="s">
        <v>221</v>
      </c>
      <c r="B15" s="4" t="s">
        <v>222</v>
      </c>
      <c r="C15" s="4" t="s">
        <v>1230</v>
      </c>
      <c r="H15" s="4" t="s">
        <v>1231</v>
      </c>
      <c r="I15" s="4" t="s">
        <v>1232</v>
      </c>
      <c r="J15" s="4" t="s">
        <v>1233</v>
      </c>
      <c r="K15" s="11" t="s">
        <v>1234</v>
      </c>
    </row>
    <row r="16" spans="1:13">
      <c r="A16" s="4" t="s">
        <v>1235</v>
      </c>
      <c r="B16" s="4" t="s">
        <v>224</v>
      </c>
      <c r="C16" s="6">
        <v>72</v>
      </c>
      <c r="H16" s="4" t="s">
        <v>1236</v>
      </c>
      <c r="I16" s="4">
        <v>1</v>
      </c>
      <c r="J16" s="6">
        <v>15.11</v>
      </c>
      <c r="K16" s="6" t="str">
        <f>IF(_xlfn.RANK.EQ(J16,$J$16:$J$23,1)&lt;=3,CHOOSE(_xlfn.RANK.EQ(J16,$J$16:$J$23,1),"1위","2위","3위"),"")</f>
        <v/>
      </c>
    </row>
    <row r="17" spans="1:11">
      <c r="A17" s="4" t="s">
        <v>1237</v>
      </c>
      <c r="B17" s="4" t="s">
        <v>226</v>
      </c>
      <c r="C17" s="6">
        <v>73</v>
      </c>
      <c r="H17" s="4" t="s">
        <v>1238</v>
      </c>
      <c r="I17" s="4">
        <v>1</v>
      </c>
      <c r="J17" s="6">
        <v>14.28</v>
      </c>
      <c r="K17" s="6" t="str">
        <f t="shared" ref="K17:K23" si="1">IF(_xlfn.RANK.EQ(J17,$J$16:$J$23,1)&lt;=3,CHOOSE(_xlfn.RANK.EQ(J17,$J$16:$J$23,1),"1위","2위","3위"),"")</f>
        <v>3위</v>
      </c>
    </row>
    <row r="18" spans="1:11">
      <c r="A18" s="4" t="s">
        <v>225</v>
      </c>
      <c r="B18" s="4" t="s">
        <v>227</v>
      </c>
      <c r="C18" s="6">
        <v>67</v>
      </c>
      <c r="H18" s="4" t="s">
        <v>1239</v>
      </c>
      <c r="I18" s="4">
        <v>1</v>
      </c>
      <c r="J18" s="6">
        <v>14.67</v>
      </c>
      <c r="K18" s="6" t="str">
        <f t="shared" si="1"/>
        <v/>
      </c>
    </row>
    <row r="19" spans="1:11">
      <c r="A19" s="4" t="s">
        <v>223</v>
      </c>
      <c r="B19" s="4" t="s">
        <v>228</v>
      </c>
      <c r="C19" s="6">
        <v>75</v>
      </c>
      <c r="H19" s="4" t="s">
        <v>1240</v>
      </c>
      <c r="I19" s="4">
        <v>2</v>
      </c>
      <c r="J19" s="6">
        <v>14.19</v>
      </c>
      <c r="K19" s="6" t="str">
        <f t="shared" si="1"/>
        <v>1위</v>
      </c>
    </row>
    <row r="20" spans="1:11">
      <c r="A20" s="4" t="s">
        <v>223</v>
      </c>
      <c r="B20" s="4" t="s">
        <v>229</v>
      </c>
      <c r="C20" s="6">
        <v>73</v>
      </c>
      <c r="H20" s="4" t="s">
        <v>1241</v>
      </c>
      <c r="I20" s="4">
        <v>2</v>
      </c>
      <c r="J20" s="6">
        <v>15.22</v>
      </c>
      <c r="K20" s="6" t="str">
        <f t="shared" si="1"/>
        <v/>
      </c>
    </row>
    <row r="21" spans="1:11">
      <c r="A21" s="4" t="s">
        <v>225</v>
      </c>
      <c r="B21" s="4" t="s">
        <v>230</v>
      </c>
      <c r="C21" s="6">
        <v>69</v>
      </c>
      <c r="E21" s="19" t="s">
        <v>1242</v>
      </c>
      <c r="H21" s="4" t="s">
        <v>1243</v>
      </c>
      <c r="I21" s="4">
        <v>2</v>
      </c>
      <c r="J21" s="6">
        <v>14.94</v>
      </c>
      <c r="K21" s="6" t="str">
        <f t="shared" si="1"/>
        <v/>
      </c>
    </row>
    <row r="22" spans="1:11">
      <c r="A22" s="4" t="s">
        <v>225</v>
      </c>
      <c r="B22" s="4" t="s">
        <v>231</v>
      </c>
      <c r="C22" s="6">
        <v>78</v>
      </c>
      <c r="E22" s="4" t="s">
        <v>1715</v>
      </c>
      <c r="H22" s="4" t="s">
        <v>1244</v>
      </c>
      <c r="I22" s="4">
        <v>3</v>
      </c>
      <c r="J22" s="6">
        <v>14.26</v>
      </c>
      <c r="K22" s="6" t="str">
        <f t="shared" si="1"/>
        <v>2위</v>
      </c>
    </row>
    <row r="23" spans="1:11">
      <c r="A23" s="42" t="s">
        <v>232</v>
      </c>
      <c r="B23" s="42"/>
      <c r="C23" s="4">
        <f>ROUNDUP(DAVERAGE(A15:C22,3,E22:E23),1)</f>
        <v>73.699999999999989</v>
      </c>
      <c r="E23" s="4" t="s">
        <v>1237</v>
      </c>
      <c r="H23" s="4" t="s">
        <v>1245</v>
      </c>
      <c r="I23" s="4">
        <v>3</v>
      </c>
      <c r="J23" s="6">
        <v>15.34</v>
      </c>
      <c r="K23" s="6" t="str">
        <f t="shared" si="1"/>
        <v/>
      </c>
    </row>
    <row r="25" spans="1:11">
      <c r="A25" s="2" t="s">
        <v>57</v>
      </c>
      <c r="B25" s="8" t="s">
        <v>233</v>
      </c>
      <c r="C25" s="8"/>
      <c r="D25" s="8"/>
      <c r="E25" s="8"/>
      <c r="F25" s="8"/>
    </row>
    <row r="26" spans="1:11">
      <c r="A26" s="4" t="s">
        <v>234</v>
      </c>
      <c r="B26" s="4" t="s">
        <v>235</v>
      </c>
      <c r="C26" s="4" t="s">
        <v>236</v>
      </c>
      <c r="D26" s="4" t="s">
        <v>61</v>
      </c>
      <c r="E26" s="11" t="s">
        <v>237</v>
      </c>
      <c r="F26" s="4" t="s">
        <v>238</v>
      </c>
    </row>
    <row r="27" spans="1:11">
      <c r="A27" s="4" t="s">
        <v>239</v>
      </c>
      <c r="B27" s="4" t="s">
        <v>240</v>
      </c>
      <c r="C27" s="4" t="s">
        <v>241</v>
      </c>
      <c r="D27" s="13">
        <v>205</v>
      </c>
      <c r="E27" s="13">
        <f>HLOOKUP(LEFT(B27,2),$A$39:$F$41,3,FALSE)</f>
        <v>30</v>
      </c>
      <c r="F27" s="13">
        <v>6150</v>
      </c>
    </row>
    <row r="28" spans="1:11">
      <c r="A28" s="4" t="s">
        <v>242</v>
      </c>
      <c r="B28" s="4" t="s">
        <v>243</v>
      </c>
      <c r="C28" s="4" t="s">
        <v>244</v>
      </c>
      <c r="D28" s="13">
        <v>100</v>
      </c>
      <c r="E28" s="13">
        <f t="shared" ref="E28:E36" si="2">HLOOKUP(LEFT(B28,2),$A$39:$F$41,3,FALSE)</f>
        <v>120</v>
      </c>
      <c r="F28" s="13">
        <v>17500</v>
      </c>
    </row>
    <row r="29" spans="1:11">
      <c r="A29" s="4" t="s">
        <v>245</v>
      </c>
      <c r="B29" s="4" t="s">
        <v>246</v>
      </c>
      <c r="C29" s="4" t="s">
        <v>244</v>
      </c>
      <c r="D29" s="13">
        <v>150</v>
      </c>
      <c r="E29" s="13">
        <f t="shared" si="2"/>
        <v>120</v>
      </c>
      <c r="F29" s="13">
        <v>26250</v>
      </c>
    </row>
    <row r="30" spans="1:11">
      <c r="A30" s="4" t="s">
        <v>245</v>
      </c>
      <c r="B30" s="4" t="s">
        <v>247</v>
      </c>
      <c r="C30" s="4" t="s">
        <v>248</v>
      </c>
      <c r="D30" s="13">
        <v>105</v>
      </c>
      <c r="E30" s="13">
        <f t="shared" si="2"/>
        <v>70</v>
      </c>
      <c r="F30" s="13">
        <v>3675</v>
      </c>
    </row>
    <row r="31" spans="1:11">
      <c r="A31" s="4" t="s">
        <v>245</v>
      </c>
      <c r="B31" s="4" t="s">
        <v>249</v>
      </c>
      <c r="C31" s="4" t="s">
        <v>241</v>
      </c>
      <c r="D31" s="13">
        <v>100</v>
      </c>
      <c r="E31" s="13">
        <f t="shared" si="2"/>
        <v>30</v>
      </c>
      <c r="F31" s="13">
        <v>1500</v>
      </c>
    </row>
    <row r="32" spans="1:11">
      <c r="A32" s="4" t="s">
        <v>245</v>
      </c>
      <c r="B32" s="4" t="s">
        <v>250</v>
      </c>
      <c r="C32" s="4" t="s">
        <v>251</v>
      </c>
      <c r="D32" s="13">
        <v>200</v>
      </c>
      <c r="E32" s="13">
        <f t="shared" si="2"/>
        <v>130</v>
      </c>
      <c r="F32" s="13">
        <v>37200</v>
      </c>
    </row>
    <row r="33" spans="1:6">
      <c r="A33" s="4" t="s">
        <v>239</v>
      </c>
      <c r="B33" s="4" t="s">
        <v>252</v>
      </c>
      <c r="C33" s="4" t="s">
        <v>251</v>
      </c>
      <c r="D33" s="13">
        <v>170</v>
      </c>
      <c r="E33" s="13">
        <f t="shared" si="2"/>
        <v>130</v>
      </c>
      <c r="F33" s="13">
        <v>31620</v>
      </c>
    </row>
    <row r="34" spans="1:6">
      <c r="A34" s="4" t="s">
        <v>242</v>
      </c>
      <c r="B34" s="4" t="s">
        <v>253</v>
      </c>
      <c r="C34" s="4" t="s">
        <v>254</v>
      </c>
      <c r="D34" s="13">
        <v>150</v>
      </c>
      <c r="E34" s="13">
        <f t="shared" si="2"/>
        <v>35</v>
      </c>
      <c r="F34" s="13">
        <v>3000</v>
      </c>
    </row>
    <row r="35" spans="1:6">
      <c r="A35" s="4" t="s">
        <v>245</v>
      </c>
      <c r="B35" s="4" t="s">
        <v>255</v>
      </c>
      <c r="C35" s="4" t="s">
        <v>254</v>
      </c>
      <c r="D35" s="13">
        <v>220</v>
      </c>
      <c r="E35" s="13">
        <f t="shared" si="2"/>
        <v>35</v>
      </c>
      <c r="F35" s="13">
        <v>4400</v>
      </c>
    </row>
    <row r="36" spans="1:6">
      <c r="A36" s="4" t="s">
        <v>239</v>
      </c>
      <c r="B36" s="4" t="s">
        <v>256</v>
      </c>
      <c r="C36" s="4" t="s">
        <v>241</v>
      </c>
      <c r="D36" s="13">
        <v>110</v>
      </c>
      <c r="E36" s="13">
        <f t="shared" si="2"/>
        <v>30</v>
      </c>
      <c r="F36" s="13">
        <v>1650</v>
      </c>
    </row>
    <row r="38" spans="1:6">
      <c r="A38" t="s">
        <v>1246</v>
      </c>
    </row>
    <row r="39" spans="1:6">
      <c r="A39" s="4" t="s">
        <v>62</v>
      </c>
      <c r="B39" s="4" t="s">
        <v>257</v>
      </c>
      <c r="C39" s="4" t="s">
        <v>258</v>
      </c>
      <c r="D39" s="4" t="s">
        <v>259</v>
      </c>
      <c r="E39" s="4" t="s">
        <v>260</v>
      </c>
      <c r="F39" s="4" t="s">
        <v>261</v>
      </c>
    </row>
    <row r="40" spans="1:6">
      <c r="A40" s="4" t="s">
        <v>236</v>
      </c>
      <c r="B40" s="4" t="s">
        <v>241</v>
      </c>
      <c r="C40" s="4" t="s">
        <v>244</v>
      </c>
      <c r="D40" s="4" t="s">
        <v>248</v>
      </c>
      <c r="E40" s="4" t="s">
        <v>254</v>
      </c>
      <c r="F40" s="4" t="s">
        <v>251</v>
      </c>
    </row>
    <row r="41" spans="1:6">
      <c r="A41" s="4" t="s">
        <v>237</v>
      </c>
      <c r="B41" s="4">
        <v>30</v>
      </c>
      <c r="C41" s="4">
        <v>120</v>
      </c>
      <c r="D41" s="4">
        <v>70</v>
      </c>
      <c r="E41" s="4">
        <v>35</v>
      </c>
      <c r="F41" s="4">
        <v>130</v>
      </c>
    </row>
  </sheetData>
  <mergeCells count="1">
    <mergeCell ref="A23:B2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I36"/>
  <sheetViews>
    <sheetView topLeftCell="A22" workbookViewId="0">
      <selection activeCell="F33" sqref="F33"/>
    </sheetView>
  </sheetViews>
  <sheetFormatPr defaultRowHeight="17.399999999999999"/>
  <cols>
    <col min="1" max="1" width="9" bestFit="1" customWidth="1"/>
    <col min="2" max="3" width="9" customWidth="1"/>
    <col min="4" max="4" width="9" bestFit="1" customWidth="1"/>
    <col min="5" max="6" width="9" customWidth="1"/>
    <col min="7" max="7" width="11.09765625" customWidth="1"/>
    <col min="8" max="9" width="9" customWidth="1"/>
  </cols>
  <sheetData>
    <row r="1" spans="1:9">
      <c r="A1" s="1" t="s">
        <v>0</v>
      </c>
      <c r="B1" s="8" t="s">
        <v>262</v>
      </c>
      <c r="C1" s="8"/>
      <c r="D1" s="8"/>
      <c r="F1" s="2" t="s">
        <v>1</v>
      </c>
      <c r="G1" s="8" t="s">
        <v>263</v>
      </c>
      <c r="H1" s="8"/>
      <c r="I1" s="8"/>
    </row>
    <row r="2" spans="1:9">
      <c r="A2" s="4" t="s">
        <v>264</v>
      </c>
      <c r="B2" s="4" t="s">
        <v>265</v>
      </c>
      <c r="C2" s="4" t="s">
        <v>266</v>
      </c>
      <c r="D2" s="11" t="s">
        <v>688</v>
      </c>
      <c r="F2" s="4" t="s">
        <v>3</v>
      </c>
      <c r="G2" s="4" t="s">
        <v>267</v>
      </c>
      <c r="H2" s="4" t="s">
        <v>689</v>
      </c>
      <c r="I2" s="11" t="s">
        <v>690</v>
      </c>
    </row>
    <row r="3" spans="1:9">
      <c r="A3" s="4" t="s">
        <v>691</v>
      </c>
      <c r="B3" s="13">
        <v>4345</v>
      </c>
      <c r="C3" s="13">
        <v>3302</v>
      </c>
      <c r="D3" s="6" t="str">
        <f>IF(MAX($C$3:$C$12)=C3,"최고액",IF(MIN($C$3:$C$12)=C3,"최저액",""))</f>
        <v/>
      </c>
      <c r="F3" s="4" t="s">
        <v>268</v>
      </c>
      <c r="G3" s="4" t="s">
        <v>269</v>
      </c>
      <c r="H3" s="4">
        <v>540</v>
      </c>
      <c r="I3" s="4" t="str">
        <f>IF(MEDIAN($H$3:$H$12)&lt;=H3,"우수","")</f>
        <v>우수</v>
      </c>
    </row>
    <row r="4" spans="1:9">
      <c r="A4" s="4" t="s">
        <v>692</v>
      </c>
      <c r="B4" s="13">
        <v>2424</v>
      </c>
      <c r="C4" s="13">
        <v>1842</v>
      </c>
      <c r="D4" s="6" t="str">
        <f t="shared" ref="D4:D12" si="0">IF(MAX($C$3:$C$12)=C4,"최고액",IF(MIN($C$3:$C$12)=C4,"최저액",""))</f>
        <v/>
      </c>
      <c r="F4" s="4" t="s">
        <v>270</v>
      </c>
      <c r="G4" s="4" t="s">
        <v>271</v>
      </c>
      <c r="H4" s="4">
        <v>430</v>
      </c>
      <c r="I4" s="4" t="str">
        <f t="shared" ref="I4:I12" si="1">IF(MEDIAN($H$3:$H$12)&lt;=H4,"우수","")</f>
        <v>우수</v>
      </c>
    </row>
    <row r="5" spans="1:9">
      <c r="A5" s="4" t="s">
        <v>693</v>
      </c>
      <c r="B5" s="13">
        <v>3429</v>
      </c>
      <c r="C5" s="13">
        <v>2606</v>
      </c>
      <c r="D5" s="6" t="str">
        <f t="shared" si="0"/>
        <v/>
      </c>
      <c r="F5" s="4" t="s">
        <v>272</v>
      </c>
      <c r="G5" s="4" t="s">
        <v>273</v>
      </c>
      <c r="H5" s="4">
        <v>120</v>
      </c>
      <c r="I5" s="4" t="str">
        <f t="shared" si="1"/>
        <v/>
      </c>
    </row>
    <row r="6" spans="1:9">
      <c r="A6" s="4" t="s">
        <v>694</v>
      </c>
      <c r="B6" s="13">
        <v>981</v>
      </c>
      <c r="C6" s="13">
        <v>745</v>
      </c>
      <c r="D6" s="6" t="str">
        <f t="shared" si="0"/>
        <v/>
      </c>
      <c r="F6" s="4" t="s">
        <v>274</v>
      </c>
      <c r="G6" s="4" t="s">
        <v>275</v>
      </c>
      <c r="H6" s="4">
        <v>500</v>
      </c>
      <c r="I6" s="4" t="str">
        <f t="shared" si="1"/>
        <v>우수</v>
      </c>
    </row>
    <row r="7" spans="1:9">
      <c r="A7" s="4" t="s">
        <v>695</v>
      </c>
      <c r="B7" s="13">
        <v>467</v>
      </c>
      <c r="C7" s="13">
        <v>354</v>
      </c>
      <c r="D7" s="6" t="str">
        <f t="shared" si="0"/>
        <v>최저액</v>
      </c>
      <c r="F7" s="4" t="s">
        <v>276</v>
      </c>
      <c r="G7" s="4" t="s">
        <v>273</v>
      </c>
      <c r="H7" s="4">
        <v>120</v>
      </c>
      <c r="I7" s="4" t="str">
        <f t="shared" si="1"/>
        <v/>
      </c>
    </row>
    <row r="8" spans="1:9">
      <c r="A8" s="4" t="s">
        <v>696</v>
      </c>
      <c r="B8" s="13">
        <v>1937</v>
      </c>
      <c r="C8" s="13">
        <v>1472</v>
      </c>
      <c r="D8" s="6" t="str">
        <f t="shared" si="0"/>
        <v/>
      </c>
      <c r="F8" s="4" t="s">
        <v>277</v>
      </c>
      <c r="G8" s="4" t="s">
        <v>271</v>
      </c>
      <c r="H8" s="4">
        <v>480</v>
      </c>
      <c r="I8" s="4" t="str">
        <f t="shared" si="1"/>
        <v>우수</v>
      </c>
    </row>
    <row r="9" spans="1:9">
      <c r="A9" s="4" t="s">
        <v>697</v>
      </c>
      <c r="B9" s="13">
        <v>1825</v>
      </c>
      <c r="C9" s="13">
        <v>1663</v>
      </c>
      <c r="D9" s="6" t="str">
        <f t="shared" si="0"/>
        <v/>
      </c>
      <c r="F9" s="4" t="s">
        <v>278</v>
      </c>
      <c r="G9" s="4" t="s">
        <v>273</v>
      </c>
      <c r="H9" s="4">
        <v>160</v>
      </c>
      <c r="I9" s="4" t="str">
        <f t="shared" si="1"/>
        <v/>
      </c>
    </row>
    <row r="10" spans="1:9">
      <c r="A10" s="4" t="s">
        <v>698</v>
      </c>
      <c r="B10" s="13">
        <v>4218</v>
      </c>
      <c r="C10" s="13">
        <v>3125</v>
      </c>
      <c r="D10" s="6" t="str">
        <f t="shared" si="0"/>
        <v/>
      </c>
      <c r="F10" s="4" t="s">
        <v>279</v>
      </c>
      <c r="G10" s="4" t="s">
        <v>699</v>
      </c>
      <c r="H10" s="4">
        <v>420</v>
      </c>
      <c r="I10" s="4" t="str">
        <f t="shared" si="1"/>
        <v>우수</v>
      </c>
    </row>
    <row r="11" spans="1:9">
      <c r="A11" s="4" t="s">
        <v>700</v>
      </c>
      <c r="B11" s="13">
        <v>4576</v>
      </c>
      <c r="C11" s="13">
        <v>3517</v>
      </c>
      <c r="D11" s="6" t="str">
        <f t="shared" si="0"/>
        <v>최고액</v>
      </c>
      <c r="F11" s="4" t="s">
        <v>701</v>
      </c>
      <c r="G11" s="4" t="s">
        <v>702</v>
      </c>
      <c r="H11" s="4">
        <v>350</v>
      </c>
      <c r="I11" s="4" t="str">
        <f t="shared" si="1"/>
        <v/>
      </c>
    </row>
    <row r="12" spans="1:9">
      <c r="A12" s="4" t="s">
        <v>703</v>
      </c>
      <c r="B12" s="13">
        <v>2014</v>
      </c>
      <c r="C12" s="13">
        <v>1836</v>
      </c>
      <c r="D12" s="6" t="str">
        <f t="shared" si="0"/>
        <v/>
      </c>
      <c r="F12" s="4" t="s">
        <v>704</v>
      </c>
      <c r="G12" s="4" t="s">
        <v>685</v>
      </c>
      <c r="H12" s="4">
        <v>220</v>
      </c>
      <c r="I12" s="4" t="str">
        <f t="shared" si="1"/>
        <v/>
      </c>
    </row>
    <row r="14" spans="1:9">
      <c r="A14" s="2" t="s">
        <v>100</v>
      </c>
      <c r="B14" s="8" t="s">
        <v>705</v>
      </c>
      <c r="C14" s="8"/>
      <c r="D14" s="8"/>
      <c r="F14" s="2" t="s">
        <v>98</v>
      </c>
      <c r="G14" s="8" t="s">
        <v>280</v>
      </c>
      <c r="H14" s="8"/>
    </row>
    <row r="15" spans="1:9">
      <c r="A15" s="4" t="s">
        <v>706</v>
      </c>
      <c r="B15" s="4" t="s">
        <v>707</v>
      </c>
      <c r="C15" s="4" t="s">
        <v>708</v>
      </c>
      <c r="D15" s="11" t="s">
        <v>709</v>
      </c>
      <c r="F15" s="4" t="s">
        <v>3</v>
      </c>
      <c r="G15" s="4" t="s">
        <v>281</v>
      </c>
      <c r="H15" s="4" t="s">
        <v>282</v>
      </c>
    </row>
    <row r="16" spans="1:9">
      <c r="A16" s="4">
        <v>152001</v>
      </c>
      <c r="B16" s="6" t="s">
        <v>710</v>
      </c>
      <c r="C16" s="6">
        <v>12.5</v>
      </c>
      <c r="D16" s="13" t="str">
        <f>IF(SMALL(C$16:C$23,1)=C16,"1위","")</f>
        <v/>
      </c>
      <c r="F16" s="4" t="s">
        <v>202</v>
      </c>
      <c r="G16" s="7">
        <v>38874</v>
      </c>
      <c r="H16" s="4">
        <v>73</v>
      </c>
    </row>
    <row r="17" spans="1:8">
      <c r="A17" s="4">
        <v>152002</v>
      </c>
      <c r="B17" s="6" t="s">
        <v>711</v>
      </c>
      <c r="C17" s="6">
        <v>12.4</v>
      </c>
      <c r="D17" s="13" t="str">
        <f t="shared" ref="D17:D23" si="2">IF(SMALL(C$16:C$23,1)=C17,"1위","")</f>
        <v/>
      </c>
      <c r="F17" s="4" t="s">
        <v>283</v>
      </c>
      <c r="G17" s="7">
        <v>39904</v>
      </c>
      <c r="H17" s="4">
        <v>68</v>
      </c>
    </row>
    <row r="18" spans="1:8">
      <c r="A18" s="4">
        <v>152003</v>
      </c>
      <c r="B18" s="6" t="s">
        <v>702</v>
      </c>
      <c r="C18" s="6">
        <v>12.9</v>
      </c>
      <c r="D18" s="13" t="str">
        <f t="shared" si="2"/>
        <v/>
      </c>
      <c r="F18" s="4" t="s">
        <v>285</v>
      </c>
      <c r="G18" s="7">
        <v>40669</v>
      </c>
      <c r="H18" s="4">
        <v>98</v>
      </c>
    </row>
    <row r="19" spans="1:8">
      <c r="A19" s="4">
        <v>152004</v>
      </c>
      <c r="B19" s="6" t="s">
        <v>687</v>
      </c>
      <c r="C19" s="6">
        <v>12.5</v>
      </c>
      <c r="D19" s="13" t="str">
        <f t="shared" si="2"/>
        <v/>
      </c>
      <c r="F19" s="4" t="s">
        <v>287</v>
      </c>
      <c r="G19" s="7">
        <v>40483</v>
      </c>
      <c r="H19" s="4">
        <v>65</v>
      </c>
    </row>
    <row r="20" spans="1:8">
      <c r="A20" s="4">
        <v>152005</v>
      </c>
      <c r="B20" s="6" t="s">
        <v>685</v>
      </c>
      <c r="C20" s="6">
        <v>11.8</v>
      </c>
      <c r="D20" s="13" t="str">
        <f t="shared" si="2"/>
        <v>1위</v>
      </c>
      <c r="F20" s="4" t="s">
        <v>289</v>
      </c>
      <c r="G20" s="7">
        <v>39448</v>
      </c>
      <c r="H20" s="4">
        <v>69</v>
      </c>
    </row>
    <row r="21" spans="1:8">
      <c r="A21" s="4">
        <v>152006</v>
      </c>
      <c r="B21" s="6" t="s">
        <v>712</v>
      </c>
      <c r="C21" s="6">
        <v>12.3</v>
      </c>
      <c r="D21" s="13" t="str">
        <f t="shared" si="2"/>
        <v/>
      </c>
      <c r="F21" s="4" t="s">
        <v>290</v>
      </c>
      <c r="G21" s="7">
        <v>39609</v>
      </c>
      <c r="H21" s="4">
        <v>80</v>
      </c>
    </row>
    <row r="22" spans="1:8">
      <c r="A22" s="4">
        <v>152007</v>
      </c>
      <c r="B22" s="6" t="s">
        <v>713</v>
      </c>
      <c r="C22" s="6">
        <v>12.8</v>
      </c>
      <c r="D22" s="13" t="str">
        <f t="shared" si="2"/>
        <v/>
      </c>
      <c r="F22" s="4" t="s">
        <v>291</v>
      </c>
      <c r="G22" s="7">
        <v>40432</v>
      </c>
      <c r="H22" s="4">
        <v>86</v>
      </c>
    </row>
    <row r="23" spans="1:8">
      <c r="A23" s="4">
        <v>152008</v>
      </c>
      <c r="B23" s="6" t="s">
        <v>714</v>
      </c>
      <c r="C23" s="6">
        <v>12.1</v>
      </c>
      <c r="D23" s="13" t="str">
        <f t="shared" si="2"/>
        <v/>
      </c>
      <c r="F23" s="4" t="s">
        <v>292</v>
      </c>
      <c r="G23" s="7">
        <v>40339</v>
      </c>
      <c r="H23" s="4">
        <v>70</v>
      </c>
    </row>
    <row r="24" spans="1:8">
      <c r="F24" s="4" t="s">
        <v>293</v>
      </c>
      <c r="G24" s="7">
        <v>39574</v>
      </c>
      <c r="H24" s="4">
        <v>68</v>
      </c>
    </row>
    <row r="25" spans="1:8">
      <c r="A25" s="2" t="s">
        <v>57</v>
      </c>
      <c r="B25" s="8" t="s">
        <v>294</v>
      </c>
      <c r="C25" s="8"/>
      <c r="D25" s="8"/>
      <c r="E25" s="8"/>
    </row>
    <row r="26" spans="1:8">
      <c r="A26" s="4" t="s">
        <v>122</v>
      </c>
      <c r="B26" s="4" t="s">
        <v>295</v>
      </c>
      <c r="C26" s="4" t="s">
        <v>296</v>
      </c>
      <c r="D26" s="4" t="s">
        <v>297</v>
      </c>
      <c r="E26" s="4" t="s">
        <v>298</v>
      </c>
      <c r="G26" s="36" t="s">
        <v>299</v>
      </c>
      <c r="H26" s="38"/>
    </row>
    <row r="27" spans="1:8">
      <c r="A27" s="4" t="s">
        <v>300</v>
      </c>
      <c r="B27" s="4" t="s">
        <v>301</v>
      </c>
      <c r="C27" s="4">
        <v>80</v>
      </c>
      <c r="D27" s="4">
        <v>70</v>
      </c>
      <c r="E27" s="4" t="s">
        <v>302</v>
      </c>
      <c r="G27" s="40" t="str">
        <f>COUNT(H16:H24)-COUNTIF(H16:H24,"&lt;70")-COUNTIF(H16:H24,"&gt;=80")&amp;"명"</f>
        <v>2명</v>
      </c>
      <c r="H27" s="41"/>
    </row>
    <row r="28" spans="1:8">
      <c r="A28" s="4" t="s">
        <v>303</v>
      </c>
      <c r="B28" s="4" t="s">
        <v>304</v>
      </c>
      <c r="C28" s="4">
        <v>50</v>
      </c>
      <c r="D28" s="4">
        <v>60</v>
      </c>
      <c r="E28" s="4" t="s">
        <v>302</v>
      </c>
    </row>
    <row r="29" spans="1:8">
      <c r="A29" s="4" t="s">
        <v>305</v>
      </c>
      <c r="B29" s="4" t="s">
        <v>306</v>
      </c>
      <c r="C29" s="4">
        <v>70</v>
      </c>
      <c r="D29" s="4">
        <v>70</v>
      </c>
      <c r="E29" s="4" t="s">
        <v>307</v>
      </c>
    </row>
    <row r="30" spans="1:8">
      <c r="A30" s="4" t="s">
        <v>308</v>
      </c>
      <c r="B30" s="4" t="s">
        <v>309</v>
      </c>
      <c r="C30" s="4">
        <v>80</v>
      </c>
      <c r="D30" s="4">
        <v>75</v>
      </c>
      <c r="E30" s="4" t="s">
        <v>307</v>
      </c>
    </row>
    <row r="31" spans="1:8">
      <c r="A31" s="4" t="s">
        <v>310</v>
      </c>
      <c r="B31" s="4" t="s">
        <v>311</v>
      </c>
      <c r="C31" s="4">
        <v>50</v>
      </c>
      <c r="D31" s="4">
        <v>60</v>
      </c>
      <c r="E31" s="4" t="s">
        <v>302</v>
      </c>
    </row>
    <row r="32" spans="1:8">
      <c r="A32" s="4" t="s">
        <v>312</v>
      </c>
      <c r="B32" s="4" t="s">
        <v>304</v>
      </c>
      <c r="C32" s="4">
        <v>45</v>
      </c>
      <c r="D32" s="4">
        <v>55</v>
      </c>
      <c r="E32" s="4" t="s">
        <v>302</v>
      </c>
    </row>
    <row r="33" spans="1:5">
      <c r="A33" s="4" t="s">
        <v>313</v>
      </c>
      <c r="B33" s="4" t="s">
        <v>311</v>
      </c>
      <c r="C33" s="4">
        <v>85</v>
      </c>
      <c r="D33" s="4">
        <v>80</v>
      </c>
      <c r="E33" s="4" t="s">
        <v>307</v>
      </c>
    </row>
    <row r="34" spans="1:5">
      <c r="A34" s="4" t="s">
        <v>314</v>
      </c>
      <c r="B34" s="4" t="s">
        <v>304</v>
      </c>
      <c r="C34" s="4">
        <v>75</v>
      </c>
      <c r="D34" s="4">
        <v>60</v>
      </c>
      <c r="E34" s="4" t="s">
        <v>302</v>
      </c>
    </row>
    <row r="35" spans="1:5">
      <c r="A35" s="4" t="s">
        <v>315</v>
      </c>
      <c r="B35" s="4" t="s">
        <v>316</v>
      </c>
      <c r="C35" s="4">
        <v>70</v>
      </c>
      <c r="D35" s="4">
        <v>95</v>
      </c>
      <c r="E35" s="4" t="s">
        <v>307</v>
      </c>
    </row>
    <row r="36" spans="1:5">
      <c r="A36" s="36" t="s">
        <v>317</v>
      </c>
      <c r="B36" s="38"/>
      <c r="C36" s="4">
        <f>TRUNC(SUMIF($E$27:$E$35,"합격",C27:C35)/COUNTIF($E$27:$E$35,"합격"))</f>
        <v>76</v>
      </c>
      <c r="D36" s="4">
        <f>TRUNC(SUMIF($E$27:$E$35,"합격",D27:D35)/COUNTIF($E$27:$E$35,"합격"))</f>
        <v>80</v>
      </c>
    </row>
  </sheetData>
  <mergeCells count="3">
    <mergeCell ref="G27:H27"/>
    <mergeCell ref="A36:B36"/>
    <mergeCell ref="G26:H2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topLeftCell="A25" workbookViewId="0">
      <selection activeCell="C40" sqref="C40"/>
    </sheetView>
  </sheetViews>
  <sheetFormatPr defaultRowHeight="17.399999999999999"/>
  <cols>
    <col min="1" max="2" width="9" customWidth="1"/>
    <col min="3" max="3" width="10.796875" customWidth="1"/>
    <col min="4" max="4" width="9" customWidth="1"/>
    <col min="6" max="6" width="9" bestFit="1" customWidth="1"/>
    <col min="7" max="8" width="11" bestFit="1" customWidth="1"/>
  </cols>
  <sheetData>
    <row r="1" spans="1:8">
      <c r="A1" s="1" t="s">
        <v>0</v>
      </c>
      <c r="B1" s="8" t="s">
        <v>715</v>
      </c>
      <c r="C1" s="8"/>
      <c r="E1" s="2" t="s">
        <v>318</v>
      </c>
      <c r="F1" s="8" t="s">
        <v>716</v>
      </c>
      <c r="G1" s="8"/>
      <c r="H1" s="8"/>
    </row>
    <row r="2" spans="1:8">
      <c r="A2" s="4" t="s">
        <v>717</v>
      </c>
      <c r="B2" s="4" t="s">
        <v>718</v>
      </c>
      <c r="C2" s="11" t="s">
        <v>719</v>
      </c>
      <c r="E2" s="4" t="s">
        <v>720</v>
      </c>
      <c r="F2" s="4" t="s">
        <v>721</v>
      </c>
      <c r="G2" s="4" t="s">
        <v>722</v>
      </c>
      <c r="H2" s="4" t="s">
        <v>723</v>
      </c>
    </row>
    <row r="3" spans="1:8">
      <c r="A3" s="4">
        <v>123001</v>
      </c>
      <c r="B3" s="4">
        <v>86</v>
      </c>
      <c r="C3" s="4" t="str">
        <f>IF(_xlfn.RANK.EQ(B3,$B$3:$B$11)=1,"1등",IF(_xlfn.RANK.EQ(B3,$B$3:$B$11)=2,"2등",IF(_xlfn.RANK.EQ(B3,$B$3:$B$11)=3,"3등","")))</f>
        <v/>
      </c>
      <c r="E3" s="4" t="s">
        <v>724</v>
      </c>
      <c r="F3" s="6">
        <v>145</v>
      </c>
      <c r="G3" s="6">
        <v>218</v>
      </c>
      <c r="H3" s="6">
        <f>SUM(F3:G3)</f>
        <v>363</v>
      </c>
    </row>
    <row r="4" spans="1:8">
      <c r="A4" s="4">
        <v>123002</v>
      </c>
      <c r="B4" s="4">
        <v>94</v>
      </c>
      <c r="C4" s="4" t="str">
        <f t="shared" ref="C4:C11" si="0">IF(_xlfn.RANK.EQ(B4,$B$3:$B$11)=1,"1등",IF(_xlfn.RANK.EQ(B4,$B$3:$B$11)=2,"2등",IF(_xlfn.RANK.EQ(B4,$B$3:$B$11)=3,"3등","")))</f>
        <v>3등</v>
      </c>
      <c r="E4" s="4" t="s">
        <v>319</v>
      </c>
      <c r="F4" s="6">
        <v>252</v>
      </c>
      <c r="G4" s="6">
        <v>364</v>
      </c>
      <c r="H4" s="6">
        <f t="shared" ref="H4:H10" si="1">SUM(F4:G4)</f>
        <v>616</v>
      </c>
    </row>
    <row r="5" spans="1:8">
      <c r="A5" s="4">
        <v>123003</v>
      </c>
      <c r="B5" s="4">
        <v>89</v>
      </c>
      <c r="C5" s="4" t="str">
        <f t="shared" si="0"/>
        <v/>
      </c>
      <c r="E5" s="4" t="s">
        <v>320</v>
      </c>
      <c r="F5" s="6">
        <v>179</v>
      </c>
      <c r="G5" s="6">
        <v>255</v>
      </c>
      <c r="H5" s="6">
        <f t="shared" si="1"/>
        <v>434</v>
      </c>
    </row>
    <row r="6" spans="1:8">
      <c r="A6" s="4">
        <v>123004</v>
      </c>
      <c r="B6" s="4">
        <v>90</v>
      </c>
      <c r="C6" s="4" t="str">
        <f t="shared" si="0"/>
        <v/>
      </c>
      <c r="E6" s="4" t="s">
        <v>725</v>
      </c>
      <c r="F6" s="6">
        <v>220</v>
      </c>
      <c r="G6" s="6">
        <v>137</v>
      </c>
      <c r="H6" s="6">
        <f t="shared" si="1"/>
        <v>357</v>
      </c>
    </row>
    <row r="7" spans="1:8">
      <c r="A7" s="4">
        <v>123005</v>
      </c>
      <c r="B7" s="4">
        <v>95</v>
      </c>
      <c r="C7" s="4" t="str">
        <f t="shared" si="0"/>
        <v>2등</v>
      </c>
      <c r="E7" s="4" t="s">
        <v>321</v>
      </c>
      <c r="F7" s="6">
        <v>200</v>
      </c>
      <c r="G7" s="6">
        <v>186</v>
      </c>
      <c r="H7" s="6">
        <f t="shared" si="1"/>
        <v>386</v>
      </c>
    </row>
    <row r="8" spans="1:8">
      <c r="A8" s="4">
        <v>123006</v>
      </c>
      <c r="B8" s="4">
        <v>92</v>
      </c>
      <c r="C8" s="4" t="str">
        <f t="shared" si="0"/>
        <v/>
      </c>
      <c r="E8" s="4" t="s">
        <v>322</v>
      </c>
      <c r="F8" s="6">
        <v>168</v>
      </c>
      <c r="G8" s="6">
        <v>211</v>
      </c>
      <c r="H8" s="6">
        <f t="shared" si="1"/>
        <v>379</v>
      </c>
    </row>
    <row r="9" spans="1:8">
      <c r="A9" s="4">
        <v>123007</v>
      </c>
      <c r="B9" s="4">
        <v>97</v>
      </c>
      <c r="C9" s="4" t="str">
        <f t="shared" si="0"/>
        <v>1등</v>
      </c>
      <c r="E9" s="4" t="s">
        <v>726</v>
      </c>
      <c r="F9" s="6">
        <v>236</v>
      </c>
      <c r="G9" s="6">
        <v>230</v>
      </c>
      <c r="H9" s="6">
        <f t="shared" si="1"/>
        <v>466</v>
      </c>
    </row>
    <row r="10" spans="1:8">
      <c r="A10" s="4">
        <v>123008</v>
      </c>
      <c r="B10" s="4">
        <v>88</v>
      </c>
      <c r="C10" s="4" t="str">
        <f t="shared" si="0"/>
        <v/>
      </c>
      <c r="E10" s="4" t="s">
        <v>727</v>
      </c>
      <c r="F10" s="6">
        <v>248</v>
      </c>
      <c r="G10" s="6">
        <v>361</v>
      </c>
      <c r="H10" s="6">
        <f t="shared" si="1"/>
        <v>609</v>
      </c>
    </row>
    <row r="11" spans="1:8">
      <c r="A11" s="4">
        <v>123009</v>
      </c>
      <c r="B11" s="4">
        <v>93</v>
      </c>
      <c r="C11" s="4" t="str">
        <f t="shared" si="0"/>
        <v/>
      </c>
      <c r="E11" s="36" t="s">
        <v>728</v>
      </c>
      <c r="F11" s="37"/>
      <c r="G11" s="38"/>
      <c r="H11" s="6" t="str">
        <f>AVERAGEIFS(H3:H10,F3:F10,"&gt;=200",G3:G10,"&gt;=300")&amp;"개"</f>
        <v>612.5개</v>
      </c>
    </row>
    <row r="13" spans="1:8">
      <c r="A13" s="2" t="s">
        <v>22</v>
      </c>
      <c r="B13" s="15" t="s">
        <v>323</v>
      </c>
      <c r="C13" s="15"/>
      <c r="E13" s="2" t="s">
        <v>98</v>
      </c>
      <c r="F13" s="8" t="s">
        <v>729</v>
      </c>
      <c r="G13" s="8"/>
      <c r="H13" s="8"/>
    </row>
    <row r="14" spans="1:8">
      <c r="A14" s="4" t="s">
        <v>324</v>
      </c>
      <c r="B14" s="4" t="s">
        <v>325</v>
      </c>
      <c r="C14" s="4" t="s">
        <v>33</v>
      </c>
      <c r="E14" s="4" t="s">
        <v>730</v>
      </c>
      <c r="F14" s="4" t="s">
        <v>731</v>
      </c>
      <c r="G14" s="4" t="s">
        <v>732</v>
      </c>
      <c r="H14" s="11" t="s">
        <v>733</v>
      </c>
    </row>
    <row r="15" spans="1:8">
      <c r="A15" s="4" t="s">
        <v>328</v>
      </c>
      <c r="B15" s="4" t="s">
        <v>329</v>
      </c>
      <c r="C15" s="13">
        <v>15960</v>
      </c>
      <c r="E15" s="4" t="s">
        <v>734</v>
      </c>
      <c r="F15" s="9" t="s">
        <v>735</v>
      </c>
      <c r="G15" s="13">
        <v>86200</v>
      </c>
      <c r="H15" s="14" t="str">
        <f>VLOOKUP(MOD(G15,10000),$E$27:$G$31,3)</f>
        <v>★★★★</v>
      </c>
    </row>
    <row r="16" spans="1:8">
      <c r="A16" s="4" t="s">
        <v>330</v>
      </c>
      <c r="B16" s="4" t="s">
        <v>331</v>
      </c>
      <c r="C16" s="13">
        <v>10944</v>
      </c>
      <c r="E16" s="4" t="s">
        <v>736</v>
      </c>
      <c r="F16" s="9" t="s">
        <v>737</v>
      </c>
      <c r="G16" s="13">
        <v>23600</v>
      </c>
      <c r="H16" s="14" t="str">
        <f t="shared" ref="H16:H23" si="2">VLOOKUP(MOD(G16,10000),$E$26:$G$31,3)</f>
        <v>★★</v>
      </c>
    </row>
    <row r="17" spans="1:8">
      <c r="A17" s="4" t="s">
        <v>332</v>
      </c>
      <c r="B17" s="4" t="s">
        <v>333</v>
      </c>
      <c r="C17" s="13">
        <v>15960</v>
      </c>
      <c r="E17" s="4" t="s">
        <v>738</v>
      </c>
      <c r="F17" s="9" t="s">
        <v>739</v>
      </c>
      <c r="G17" s="13">
        <v>94500</v>
      </c>
      <c r="H17" s="14" t="str">
        <f t="shared" si="2"/>
        <v>★★★</v>
      </c>
    </row>
    <row r="18" spans="1:8">
      <c r="A18" s="4" t="s">
        <v>334</v>
      </c>
      <c r="B18" s="4" t="s">
        <v>331</v>
      </c>
      <c r="C18" s="13">
        <v>11856</v>
      </c>
      <c r="E18" s="4" t="s">
        <v>740</v>
      </c>
      <c r="F18" s="9" t="s">
        <v>741</v>
      </c>
      <c r="G18" s="13">
        <v>71800</v>
      </c>
      <c r="H18" s="14" t="str">
        <f t="shared" si="2"/>
        <v>★</v>
      </c>
    </row>
    <row r="19" spans="1:8">
      <c r="A19" s="4" t="s">
        <v>335</v>
      </c>
      <c r="B19" s="4" t="s">
        <v>329</v>
      </c>
      <c r="C19" s="13">
        <v>24624</v>
      </c>
      <c r="E19" s="4" t="s">
        <v>742</v>
      </c>
      <c r="F19" s="9" t="s">
        <v>743</v>
      </c>
      <c r="G19" s="13">
        <v>45500</v>
      </c>
      <c r="H19" s="14" t="str">
        <f t="shared" si="2"/>
        <v>★★★</v>
      </c>
    </row>
    <row r="20" spans="1:8">
      <c r="A20" s="4" t="s">
        <v>336</v>
      </c>
      <c r="B20" s="4" t="s">
        <v>329</v>
      </c>
      <c r="C20" s="13">
        <v>15504</v>
      </c>
      <c r="E20" s="4" t="s">
        <v>744</v>
      </c>
      <c r="F20" s="9" t="s">
        <v>745</v>
      </c>
      <c r="G20" s="13">
        <v>33000</v>
      </c>
      <c r="H20" s="14" t="str">
        <f t="shared" si="2"/>
        <v>★★</v>
      </c>
    </row>
    <row r="21" spans="1:8">
      <c r="A21" s="4" t="s">
        <v>337</v>
      </c>
      <c r="B21" s="4" t="s">
        <v>331</v>
      </c>
      <c r="C21" s="13">
        <v>20064</v>
      </c>
      <c r="E21" s="4" t="s">
        <v>746</v>
      </c>
      <c r="F21" s="9" t="s">
        <v>747</v>
      </c>
      <c r="G21" s="13">
        <v>61700</v>
      </c>
      <c r="H21" s="14" t="str">
        <f t="shared" si="2"/>
        <v>★</v>
      </c>
    </row>
    <row r="22" spans="1:8">
      <c r="A22" s="4" t="s">
        <v>338</v>
      </c>
      <c r="B22" s="4" t="s">
        <v>333</v>
      </c>
      <c r="C22" s="13">
        <v>19608</v>
      </c>
      <c r="E22" s="4" t="s">
        <v>748</v>
      </c>
      <c r="F22" s="9" t="s">
        <v>749</v>
      </c>
      <c r="G22" s="13">
        <v>53000</v>
      </c>
      <c r="H22" s="14" t="str">
        <f t="shared" si="2"/>
        <v>★★</v>
      </c>
    </row>
    <row r="23" spans="1:8">
      <c r="A23" s="4" t="s">
        <v>339</v>
      </c>
      <c r="B23" s="4" t="s">
        <v>331</v>
      </c>
      <c r="C23" s="13">
        <v>10488</v>
      </c>
      <c r="E23" s="4" t="s">
        <v>750</v>
      </c>
      <c r="F23" s="9" t="s">
        <v>751</v>
      </c>
      <c r="G23" s="13">
        <v>58300</v>
      </c>
      <c r="H23" s="14" t="str">
        <f t="shared" si="2"/>
        <v>★★★★★</v>
      </c>
    </row>
    <row r="25" spans="1:8">
      <c r="A25" s="36" t="s">
        <v>340</v>
      </c>
      <c r="B25" s="38"/>
      <c r="C25" s="5">
        <f>ROUND(DSUM(A14:C23,3,B14:B15),-2)</f>
        <v>56100</v>
      </c>
      <c r="E25" s="39" t="s">
        <v>752</v>
      </c>
      <c r="F25" s="39"/>
      <c r="G25" s="39"/>
    </row>
    <row r="26" spans="1:8">
      <c r="E26" s="4" t="s">
        <v>753</v>
      </c>
      <c r="F26" s="4" t="s">
        <v>754</v>
      </c>
      <c r="G26" s="4" t="s">
        <v>755</v>
      </c>
    </row>
    <row r="27" spans="1:8">
      <c r="A27" s="2" t="s">
        <v>57</v>
      </c>
      <c r="B27" s="8" t="s">
        <v>341</v>
      </c>
      <c r="C27" s="8"/>
      <c r="E27" s="21">
        <v>0</v>
      </c>
      <c r="F27" s="22">
        <v>2000</v>
      </c>
      <c r="G27" s="4" t="s">
        <v>756</v>
      </c>
    </row>
    <row r="28" spans="1:8">
      <c r="A28" s="4" t="s">
        <v>3</v>
      </c>
      <c r="B28" s="4" t="s">
        <v>4</v>
      </c>
      <c r="C28" s="4" t="s">
        <v>342</v>
      </c>
      <c r="E28" s="22">
        <v>2000</v>
      </c>
      <c r="F28" s="22">
        <v>4000</v>
      </c>
      <c r="G28" s="4" t="s">
        <v>757</v>
      </c>
    </row>
    <row r="29" spans="1:8">
      <c r="A29" s="4" t="s">
        <v>343</v>
      </c>
      <c r="B29" s="4" t="s">
        <v>344</v>
      </c>
      <c r="C29" s="13">
        <v>2288000</v>
      </c>
      <c r="E29" s="22">
        <v>4000</v>
      </c>
      <c r="F29" s="22">
        <v>6000</v>
      </c>
      <c r="G29" s="4" t="s">
        <v>758</v>
      </c>
    </row>
    <row r="30" spans="1:8">
      <c r="A30" s="4" t="s">
        <v>345</v>
      </c>
      <c r="B30" s="4" t="s">
        <v>346</v>
      </c>
      <c r="C30" s="13">
        <v>1687500</v>
      </c>
      <c r="E30" s="21">
        <v>6000</v>
      </c>
      <c r="F30" s="22">
        <v>8000</v>
      </c>
      <c r="G30" s="4" t="s">
        <v>759</v>
      </c>
    </row>
    <row r="31" spans="1:8">
      <c r="A31" s="4" t="s">
        <v>347</v>
      </c>
      <c r="B31" s="4" t="s">
        <v>348</v>
      </c>
      <c r="C31" s="13">
        <v>1220000</v>
      </c>
      <c r="E31" s="21">
        <v>8000</v>
      </c>
      <c r="F31" s="22">
        <v>10000</v>
      </c>
      <c r="G31" s="4" t="s">
        <v>760</v>
      </c>
    </row>
    <row r="32" spans="1:8">
      <c r="A32" s="4" t="s">
        <v>349</v>
      </c>
      <c r="B32" s="4" t="s">
        <v>172</v>
      </c>
      <c r="C32" s="13">
        <v>1932000</v>
      </c>
    </row>
    <row r="33" spans="1:3">
      <c r="A33" s="4" t="s">
        <v>350</v>
      </c>
      <c r="B33" s="4" t="s">
        <v>169</v>
      </c>
      <c r="C33" s="13">
        <v>1159000</v>
      </c>
    </row>
    <row r="34" spans="1:3">
      <c r="A34" s="4" t="s">
        <v>351</v>
      </c>
      <c r="B34" s="4" t="s">
        <v>172</v>
      </c>
      <c r="C34" s="13">
        <v>1220000</v>
      </c>
    </row>
    <row r="35" spans="1:3">
      <c r="A35" s="4" t="s">
        <v>352</v>
      </c>
      <c r="B35" s="4" t="s">
        <v>344</v>
      </c>
      <c r="C35" s="13">
        <v>2584600</v>
      </c>
    </row>
    <row r="36" spans="1:3">
      <c r="A36" s="4" t="s">
        <v>353</v>
      </c>
      <c r="B36" s="4" t="s">
        <v>354</v>
      </c>
      <c r="C36" s="13">
        <v>1687500</v>
      </c>
    </row>
    <row r="37" spans="1:3">
      <c r="A37" s="4" t="s">
        <v>355</v>
      </c>
      <c r="B37" s="4" t="s">
        <v>346</v>
      </c>
      <c r="C37" s="13">
        <v>1863000</v>
      </c>
    </row>
    <row r="39" spans="1:3">
      <c r="A39" s="36" t="s">
        <v>356</v>
      </c>
      <c r="B39" s="38"/>
      <c r="C39" s="5">
        <f>SUMIF(B29:B37,"&lt;&gt;기획부",C29:C37)/COUNTIF(B29:B37,"&lt;&gt;기획부")</f>
        <v>1538428.5714285714</v>
      </c>
    </row>
  </sheetData>
  <mergeCells count="4">
    <mergeCell ref="A39:B39"/>
    <mergeCell ref="E11:G11"/>
    <mergeCell ref="A25:B25"/>
    <mergeCell ref="E25:G25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J36"/>
  <sheetViews>
    <sheetView topLeftCell="A19" workbookViewId="0">
      <selection activeCell="D29" sqref="D29:D36"/>
    </sheetView>
  </sheetViews>
  <sheetFormatPr defaultRowHeight="17.399999999999999"/>
  <cols>
    <col min="1" max="1" width="11" bestFit="1" customWidth="1"/>
    <col min="2" max="2" width="9" customWidth="1"/>
    <col min="3" max="3" width="9" bestFit="1" customWidth="1"/>
    <col min="4" max="4" width="9" customWidth="1"/>
    <col min="5" max="5" width="11.69921875" customWidth="1"/>
    <col min="6" max="6" width="3.59765625" customWidth="1"/>
    <col min="7" max="10" width="9" customWidth="1"/>
  </cols>
  <sheetData>
    <row r="1" spans="1:10">
      <c r="A1" s="1" t="s">
        <v>0</v>
      </c>
      <c r="B1" s="8" t="s">
        <v>761</v>
      </c>
      <c r="C1" s="8"/>
      <c r="D1" s="8"/>
      <c r="G1" s="2" t="s">
        <v>1</v>
      </c>
      <c r="H1" s="8" t="s">
        <v>357</v>
      </c>
      <c r="I1" s="8"/>
      <c r="J1" s="8"/>
    </row>
    <row r="2" spans="1:10">
      <c r="A2" s="4" t="s">
        <v>762</v>
      </c>
      <c r="B2" s="4" t="s">
        <v>763</v>
      </c>
      <c r="C2" s="4" t="s">
        <v>764</v>
      </c>
      <c r="D2" s="11" t="s">
        <v>765</v>
      </c>
      <c r="G2" s="4" t="s">
        <v>3</v>
      </c>
      <c r="H2" s="4" t="s">
        <v>766</v>
      </c>
      <c r="I2" s="4" t="s">
        <v>165</v>
      </c>
      <c r="J2" s="4" t="s">
        <v>166</v>
      </c>
    </row>
    <row r="3" spans="1:10">
      <c r="A3" s="4" t="s">
        <v>767</v>
      </c>
      <c r="B3" s="12">
        <v>0.42708333333333331</v>
      </c>
      <c r="C3" s="12">
        <v>0.56874999999999998</v>
      </c>
      <c r="D3" s="12">
        <f>IF(RIGHT(A3,3)="자동차",(C3-B3)+TIME(,2,),C3-B3)</f>
        <v>0.14166666666666666</v>
      </c>
      <c r="G3" s="4" t="s">
        <v>12</v>
      </c>
      <c r="H3" s="4">
        <v>91</v>
      </c>
      <c r="I3" s="4">
        <v>88</v>
      </c>
      <c r="J3" s="4">
        <v>92</v>
      </c>
    </row>
    <row r="4" spans="1:10">
      <c r="A4" s="4" t="s">
        <v>768</v>
      </c>
      <c r="B4" s="12">
        <v>0.4458333333333333</v>
      </c>
      <c r="C4" s="12">
        <v>0.47500000000000003</v>
      </c>
      <c r="D4" s="12">
        <f t="shared" ref="D4:D10" si="0">IF(RIGHT(A4,3)="자동차",(C4-B4)+TIME(,2,),C4-B4)</f>
        <v>3.0555555555555617E-2</v>
      </c>
      <c r="G4" s="4" t="s">
        <v>359</v>
      </c>
      <c r="H4" s="4">
        <v>94</v>
      </c>
      <c r="I4" s="4">
        <v>95</v>
      </c>
      <c r="J4" s="4">
        <v>93</v>
      </c>
    </row>
    <row r="5" spans="1:10">
      <c r="A5" s="4" t="s">
        <v>769</v>
      </c>
      <c r="B5" s="12">
        <v>0.45833333333333331</v>
      </c>
      <c r="C5" s="12">
        <v>0.59930555555555554</v>
      </c>
      <c r="D5" s="12">
        <f t="shared" si="0"/>
        <v>0.14097222222222222</v>
      </c>
      <c r="G5" s="4" t="s">
        <v>360</v>
      </c>
      <c r="H5" s="4">
        <v>76</v>
      </c>
      <c r="I5" s="4">
        <v>92</v>
      </c>
      <c r="J5" s="4">
        <v>91</v>
      </c>
    </row>
    <row r="6" spans="1:10">
      <c r="A6" s="4" t="s">
        <v>770</v>
      </c>
      <c r="B6" s="12">
        <v>0.46249999999999997</v>
      </c>
      <c r="C6" s="12">
        <v>0.67499999999999993</v>
      </c>
      <c r="D6" s="12">
        <f t="shared" si="0"/>
        <v>0.21249999999999997</v>
      </c>
      <c r="G6" s="4" t="s">
        <v>361</v>
      </c>
      <c r="H6" s="4">
        <v>89</v>
      </c>
      <c r="I6" s="4">
        <v>95</v>
      </c>
      <c r="J6" s="4">
        <v>95</v>
      </c>
    </row>
    <row r="7" spans="1:10">
      <c r="A7" s="4" t="s">
        <v>771</v>
      </c>
      <c r="B7" s="12">
        <v>0.47430555555555554</v>
      </c>
      <c r="C7" s="12">
        <v>0.53680555555555554</v>
      </c>
      <c r="D7" s="12">
        <f t="shared" si="0"/>
        <v>6.3888888888888884E-2</v>
      </c>
      <c r="G7" s="4" t="s">
        <v>363</v>
      </c>
      <c r="H7" s="4">
        <v>85</v>
      </c>
      <c r="I7" s="4">
        <v>86</v>
      </c>
      <c r="J7" s="4">
        <v>88</v>
      </c>
    </row>
    <row r="8" spans="1:10">
      <c r="A8" s="4" t="s">
        <v>772</v>
      </c>
      <c r="B8" s="12">
        <v>0.49652777777777773</v>
      </c>
      <c r="C8" s="12">
        <v>0.60486111111111118</v>
      </c>
      <c r="D8" s="12">
        <f t="shared" si="0"/>
        <v>0.10833333333333345</v>
      </c>
      <c r="G8" s="4" t="s">
        <v>364</v>
      </c>
      <c r="H8" s="4">
        <v>85</v>
      </c>
      <c r="I8" s="4">
        <v>94</v>
      </c>
      <c r="J8" s="4">
        <v>96</v>
      </c>
    </row>
    <row r="9" spans="1:10">
      <c r="A9" s="4" t="s">
        <v>773</v>
      </c>
      <c r="B9" s="12">
        <v>0.51250000000000007</v>
      </c>
      <c r="C9" s="12">
        <v>0.57222222222222219</v>
      </c>
      <c r="D9" s="12">
        <f t="shared" si="0"/>
        <v>6.1111111111111012E-2</v>
      </c>
      <c r="G9" s="4" t="s">
        <v>365</v>
      </c>
      <c r="H9" s="4">
        <v>90</v>
      </c>
      <c r="I9" s="4">
        <v>91</v>
      </c>
      <c r="J9" s="4">
        <v>90</v>
      </c>
    </row>
    <row r="10" spans="1:10">
      <c r="A10" s="4" t="s">
        <v>774</v>
      </c>
      <c r="B10" s="12">
        <v>0.51458333333333328</v>
      </c>
      <c r="C10" s="12">
        <v>0.57777777777777783</v>
      </c>
      <c r="D10" s="12">
        <f t="shared" si="0"/>
        <v>6.3194444444444553E-2</v>
      </c>
    </row>
    <row r="11" spans="1:10">
      <c r="H11" s="36" t="s">
        <v>775</v>
      </c>
      <c r="I11" s="38"/>
      <c r="J11" s="4" t="str">
        <f>COUNTIFS(H3:H9,"&gt;=80",I3:I9,"&gt;=90",J3:J9,"&gt;=90")&amp;"명"</f>
        <v>4명</v>
      </c>
    </row>
    <row r="13" spans="1:10">
      <c r="A13" s="2" t="s">
        <v>100</v>
      </c>
      <c r="B13" s="8" t="s">
        <v>366</v>
      </c>
      <c r="C13" s="8"/>
      <c r="D13" s="8"/>
      <c r="E13" s="8"/>
      <c r="G13" s="2" t="s">
        <v>98</v>
      </c>
      <c r="H13" s="8" t="s">
        <v>367</v>
      </c>
      <c r="I13" s="8"/>
      <c r="J13" s="8"/>
    </row>
    <row r="14" spans="1:10">
      <c r="A14" s="4" t="s">
        <v>326</v>
      </c>
      <c r="B14" s="4" t="s">
        <v>324</v>
      </c>
      <c r="C14" s="4" t="s">
        <v>368</v>
      </c>
      <c r="D14" s="4" t="s">
        <v>369</v>
      </c>
      <c r="E14" s="4" t="s">
        <v>327</v>
      </c>
      <c r="G14" s="4" t="s">
        <v>3</v>
      </c>
      <c r="H14" s="4" t="s">
        <v>370</v>
      </c>
      <c r="I14" s="4" t="s">
        <v>165</v>
      </c>
      <c r="J14" s="4" t="s">
        <v>198</v>
      </c>
    </row>
    <row r="15" spans="1:10">
      <c r="A15" s="4" t="s">
        <v>371</v>
      </c>
      <c r="B15" s="4" t="s">
        <v>372</v>
      </c>
      <c r="C15" s="4">
        <v>2</v>
      </c>
      <c r="D15" s="4">
        <v>4</v>
      </c>
      <c r="E15" s="13">
        <v>635000</v>
      </c>
      <c r="G15" s="4" t="s">
        <v>359</v>
      </c>
      <c r="H15" s="4" t="s">
        <v>224</v>
      </c>
      <c r="I15" s="4">
        <v>82</v>
      </c>
      <c r="J15" s="4">
        <v>70</v>
      </c>
    </row>
    <row r="16" spans="1:10">
      <c r="A16" s="4" t="s">
        <v>373</v>
      </c>
      <c r="B16" s="4" t="s">
        <v>374</v>
      </c>
      <c r="C16" s="4">
        <v>5</v>
      </c>
      <c r="D16" s="4">
        <v>9</v>
      </c>
      <c r="E16" s="13">
        <v>740000</v>
      </c>
      <c r="G16" s="4" t="s">
        <v>375</v>
      </c>
      <c r="H16" s="4" t="s">
        <v>228</v>
      </c>
      <c r="I16" s="4">
        <v>73</v>
      </c>
      <c r="J16" s="4">
        <v>88</v>
      </c>
    </row>
    <row r="17" spans="1:10">
      <c r="A17" s="4" t="s">
        <v>371</v>
      </c>
      <c r="B17" s="4" t="s">
        <v>376</v>
      </c>
      <c r="C17" s="4">
        <v>1</v>
      </c>
      <c r="D17" s="4">
        <v>2</v>
      </c>
      <c r="E17" s="13">
        <v>600000</v>
      </c>
      <c r="G17" s="4" t="s">
        <v>377</v>
      </c>
      <c r="H17" s="4" t="s">
        <v>378</v>
      </c>
      <c r="I17" s="4">
        <v>98</v>
      </c>
      <c r="J17" s="4">
        <v>80</v>
      </c>
    </row>
    <row r="18" spans="1:10">
      <c r="A18" s="4" t="s">
        <v>379</v>
      </c>
      <c r="B18" s="4" t="s">
        <v>380</v>
      </c>
      <c r="C18" s="4">
        <v>5</v>
      </c>
      <c r="D18" s="4">
        <v>10</v>
      </c>
      <c r="E18" s="13">
        <v>740000</v>
      </c>
      <c r="G18" s="4" t="s">
        <v>381</v>
      </c>
      <c r="H18" s="4" t="s">
        <v>224</v>
      </c>
      <c r="I18" s="4">
        <v>76</v>
      </c>
      <c r="J18" s="4">
        <v>94</v>
      </c>
    </row>
    <row r="19" spans="1:10">
      <c r="A19" s="4" t="s">
        <v>373</v>
      </c>
      <c r="B19" s="4" t="s">
        <v>382</v>
      </c>
      <c r="C19" s="4">
        <v>9</v>
      </c>
      <c r="D19" s="4">
        <v>19</v>
      </c>
      <c r="E19" s="13">
        <v>880000</v>
      </c>
      <c r="G19" s="4" t="s">
        <v>383</v>
      </c>
      <c r="H19" s="4" t="s">
        <v>228</v>
      </c>
      <c r="I19" s="4">
        <v>66</v>
      </c>
      <c r="J19" s="4">
        <v>74</v>
      </c>
    </row>
    <row r="20" spans="1:10">
      <c r="A20" s="4" t="s">
        <v>379</v>
      </c>
      <c r="B20" s="4" t="s">
        <v>384</v>
      </c>
      <c r="C20" s="4">
        <v>6</v>
      </c>
      <c r="D20" s="4">
        <v>13</v>
      </c>
      <c r="E20" s="13">
        <v>775000</v>
      </c>
      <c r="G20" s="4" t="s">
        <v>385</v>
      </c>
      <c r="H20" s="4" t="s">
        <v>228</v>
      </c>
      <c r="I20" s="4">
        <v>84</v>
      </c>
      <c r="J20" s="4">
        <v>90</v>
      </c>
    </row>
    <row r="21" spans="1:10">
      <c r="A21" s="4" t="s">
        <v>371</v>
      </c>
      <c r="B21" s="4" t="s">
        <v>386</v>
      </c>
      <c r="C21" s="4">
        <v>3</v>
      </c>
      <c r="D21" s="4">
        <v>5</v>
      </c>
      <c r="E21" s="13">
        <v>670000</v>
      </c>
      <c r="G21" s="4" t="s">
        <v>387</v>
      </c>
      <c r="H21" s="4" t="s">
        <v>224</v>
      </c>
      <c r="I21" s="4">
        <v>58</v>
      </c>
      <c r="J21" s="4">
        <v>64</v>
      </c>
    </row>
    <row r="22" spans="1:10">
      <c r="A22" s="4" t="s">
        <v>373</v>
      </c>
      <c r="B22" s="4" t="s">
        <v>388</v>
      </c>
      <c r="C22" s="4">
        <v>3</v>
      </c>
      <c r="D22" s="4">
        <v>6</v>
      </c>
      <c r="E22" s="13">
        <v>670000</v>
      </c>
      <c r="G22" s="4" t="s">
        <v>389</v>
      </c>
      <c r="H22" s="4" t="s">
        <v>228</v>
      </c>
      <c r="I22" s="4">
        <v>78</v>
      </c>
      <c r="J22" s="4">
        <v>82</v>
      </c>
    </row>
    <row r="24" spans="1:10">
      <c r="E24" s="11" t="s">
        <v>390</v>
      </c>
      <c r="G24" s="4" t="s">
        <v>989</v>
      </c>
      <c r="H24" s="11" t="s">
        <v>391</v>
      </c>
    </row>
    <row r="25" spans="1:10">
      <c r="E25" s="5">
        <f ca="1">ABS(SUMIF(A15:E22,"사원",E15:E22)/COUNTIF(A15:A22,"사원")-SUMIF(A15:E22,"대리",E15:E22)/COUNTIF(A15:A22,"대리"))</f>
        <v>122500</v>
      </c>
      <c r="G25" s="4" t="s">
        <v>1716</v>
      </c>
      <c r="H25" s="4">
        <f>ROUNDDOWN(DAVERAGE(G14:J22,3,G24:G25),1)</f>
        <v>75.2</v>
      </c>
    </row>
    <row r="27" spans="1:10">
      <c r="A27" s="2" t="s">
        <v>57</v>
      </c>
      <c r="B27" s="8" t="s">
        <v>776</v>
      </c>
      <c r="C27" s="8"/>
      <c r="D27" s="8"/>
    </row>
    <row r="28" spans="1:10">
      <c r="A28" s="4" t="s">
        <v>3</v>
      </c>
      <c r="B28" s="4" t="s">
        <v>125</v>
      </c>
      <c r="C28" s="4" t="s">
        <v>686</v>
      </c>
      <c r="D28" s="11" t="s">
        <v>777</v>
      </c>
    </row>
    <row r="29" spans="1:10">
      <c r="A29" s="4" t="s">
        <v>392</v>
      </c>
      <c r="B29" s="4" t="s">
        <v>358</v>
      </c>
      <c r="C29" s="4">
        <v>84</v>
      </c>
      <c r="D29" s="4" t="str">
        <f>IFERROR(CHOOSE(_xlfn.RANK.EQ(C29,$C$29:$C$36),"최우수","우수"),"")</f>
        <v/>
      </c>
    </row>
    <row r="30" spans="1:10">
      <c r="A30" s="4" t="s">
        <v>393</v>
      </c>
      <c r="B30" s="4" t="s">
        <v>362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>
      <c r="A31" s="4" t="s">
        <v>155</v>
      </c>
      <c r="B31" s="4" t="s">
        <v>358</v>
      </c>
      <c r="C31" s="4">
        <v>90</v>
      </c>
      <c r="D31" s="4" t="str">
        <f t="shared" si="1"/>
        <v/>
      </c>
    </row>
    <row r="32" spans="1:10">
      <c r="A32" s="4" t="s">
        <v>394</v>
      </c>
      <c r="B32" s="4" t="s">
        <v>358</v>
      </c>
      <c r="C32" s="4">
        <v>87</v>
      </c>
      <c r="D32" s="4" t="str">
        <f t="shared" si="1"/>
        <v/>
      </c>
    </row>
    <row r="33" spans="1:4">
      <c r="A33" s="4" t="s">
        <v>395</v>
      </c>
      <c r="B33" s="4" t="s">
        <v>362</v>
      </c>
      <c r="C33" s="4">
        <v>91</v>
      </c>
      <c r="D33" s="4" t="str">
        <f t="shared" si="1"/>
        <v/>
      </c>
    </row>
    <row r="34" spans="1:4">
      <c r="A34" s="4" t="s">
        <v>396</v>
      </c>
      <c r="B34" s="4" t="s">
        <v>362</v>
      </c>
      <c r="C34" s="4">
        <v>96</v>
      </c>
      <c r="D34" s="4" t="str">
        <f t="shared" si="1"/>
        <v>우수</v>
      </c>
    </row>
    <row r="35" spans="1:4">
      <c r="A35" s="4" t="s">
        <v>397</v>
      </c>
      <c r="B35" s="4" t="s">
        <v>358</v>
      </c>
      <c r="C35" s="4">
        <v>89</v>
      </c>
      <c r="D35" s="4" t="str">
        <f t="shared" si="1"/>
        <v/>
      </c>
    </row>
    <row r="36" spans="1:4">
      <c r="A36" s="4" t="s">
        <v>398</v>
      </c>
      <c r="B36" s="4" t="s">
        <v>362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5"/>
  <sheetViews>
    <sheetView topLeftCell="A19" workbookViewId="0">
      <selection activeCell="D28" sqref="D28:D35"/>
    </sheetView>
  </sheetViews>
  <sheetFormatPr defaultRowHeight="17.399999999999999"/>
  <cols>
    <col min="1" max="2" width="9" customWidth="1"/>
    <col min="3" max="3" width="10.69921875" bestFit="1" customWidth="1"/>
    <col min="4" max="4" width="10.796875" bestFit="1" customWidth="1"/>
    <col min="5" max="5" width="3.59765625" customWidth="1"/>
    <col min="6" max="10" width="9" customWidth="1"/>
  </cols>
  <sheetData>
    <row r="1" spans="1:10">
      <c r="A1" s="1" t="s">
        <v>0</v>
      </c>
      <c r="B1" s="8" t="s">
        <v>401</v>
      </c>
      <c r="C1" s="8"/>
      <c r="D1" s="8"/>
      <c r="F1" s="2" t="s">
        <v>487</v>
      </c>
      <c r="G1" s="8" t="s">
        <v>415</v>
      </c>
      <c r="H1" s="15"/>
      <c r="I1" s="15"/>
    </row>
    <row r="2" spans="1:10">
      <c r="A2" s="4" t="s">
        <v>1148</v>
      </c>
      <c r="B2" s="4" t="s">
        <v>370</v>
      </c>
      <c r="C2" s="4" t="s">
        <v>196</v>
      </c>
      <c r="D2" s="4" t="s">
        <v>401</v>
      </c>
      <c r="F2" s="4" t="s">
        <v>1430</v>
      </c>
      <c r="G2" s="4" t="s">
        <v>164</v>
      </c>
      <c r="H2" s="4" t="s">
        <v>417</v>
      </c>
      <c r="I2" s="19"/>
    </row>
    <row r="3" spans="1:10">
      <c r="A3" s="4" t="s">
        <v>403</v>
      </c>
      <c r="B3" s="4" t="s">
        <v>228</v>
      </c>
      <c r="C3" s="4">
        <v>3</v>
      </c>
      <c r="D3" s="13">
        <v>4000000</v>
      </c>
      <c r="F3" s="4" t="s">
        <v>168</v>
      </c>
      <c r="G3" s="4" t="s">
        <v>172</v>
      </c>
      <c r="H3" s="4">
        <v>87</v>
      </c>
    </row>
    <row r="4" spans="1:10">
      <c r="A4" s="4" t="s">
        <v>404</v>
      </c>
      <c r="B4" s="4" t="s">
        <v>405</v>
      </c>
      <c r="C4" s="4">
        <v>1</v>
      </c>
      <c r="D4" s="13">
        <v>3000000</v>
      </c>
      <c r="F4" s="4" t="s">
        <v>170</v>
      </c>
      <c r="G4" s="4" t="s">
        <v>14</v>
      </c>
      <c r="H4" s="4">
        <v>64</v>
      </c>
    </row>
    <row r="5" spans="1:10">
      <c r="A5" s="4" t="s">
        <v>406</v>
      </c>
      <c r="B5" s="4" t="s">
        <v>405</v>
      </c>
      <c r="C5" s="4">
        <v>3</v>
      </c>
      <c r="D5" s="13">
        <v>3800000</v>
      </c>
      <c r="F5" s="4" t="s">
        <v>171</v>
      </c>
      <c r="G5" s="4" t="s">
        <v>172</v>
      </c>
      <c r="H5" s="4">
        <v>72</v>
      </c>
    </row>
    <row r="6" spans="1:10">
      <c r="A6" s="4" t="s">
        <v>407</v>
      </c>
      <c r="B6" s="4" t="s">
        <v>228</v>
      </c>
      <c r="C6" s="4">
        <v>4</v>
      </c>
      <c r="D6" s="13">
        <v>4500000</v>
      </c>
      <c r="F6" s="4" t="s">
        <v>173</v>
      </c>
      <c r="G6" s="4" t="s">
        <v>169</v>
      </c>
      <c r="H6" s="4">
        <v>70</v>
      </c>
    </row>
    <row r="7" spans="1:10">
      <c r="A7" s="4" t="s">
        <v>408</v>
      </c>
      <c r="B7" s="4" t="s">
        <v>405</v>
      </c>
      <c r="C7" s="4">
        <v>4</v>
      </c>
      <c r="D7" s="13">
        <v>4400000</v>
      </c>
      <c r="F7" s="4" t="s">
        <v>174</v>
      </c>
      <c r="G7" s="4" t="s">
        <v>169</v>
      </c>
      <c r="H7" s="4">
        <v>86</v>
      </c>
    </row>
    <row r="8" spans="1:10" ht="16.5" customHeight="1">
      <c r="A8" s="4" t="s">
        <v>409</v>
      </c>
      <c r="B8" s="4" t="s">
        <v>228</v>
      </c>
      <c r="C8" s="4">
        <v>4</v>
      </c>
      <c r="D8" s="13">
        <v>4500000</v>
      </c>
      <c r="F8" s="4" t="s">
        <v>175</v>
      </c>
      <c r="G8" s="4" t="s">
        <v>14</v>
      </c>
      <c r="H8" s="4">
        <v>72</v>
      </c>
      <c r="J8" s="19" t="s">
        <v>1534</v>
      </c>
    </row>
    <row r="9" spans="1:10">
      <c r="A9" s="4" t="s">
        <v>410</v>
      </c>
      <c r="B9" s="4" t="s">
        <v>405</v>
      </c>
      <c r="C9" s="4">
        <v>2</v>
      </c>
      <c r="D9" s="13">
        <v>3500000</v>
      </c>
      <c r="F9" s="4" t="s">
        <v>176</v>
      </c>
      <c r="G9" s="4" t="s">
        <v>169</v>
      </c>
      <c r="H9" s="4">
        <v>70</v>
      </c>
      <c r="J9" s="4" t="s">
        <v>1717</v>
      </c>
    </row>
    <row r="10" spans="1:10">
      <c r="A10" s="4" t="s">
        <v>411</v>
      </c>
      <c r="B10" s="4" t="s">
        <v>228</v>
      </c>
      <c r="C10" s="4">
        <v>1</v>
      </c>
      <c r="D10" s="13">
        <v>3200000</v>
      </c>
      <c r="F10" s="4" t="s">
        <v>178</v>
      </c>
      <c r="G10" s="4" t="s">
        <v>169</v>
      </c>
      <c r="H10" s="4">
        <v>68</v>
      </c>
      <c r="J10" s="4" t="s">
        <v>1711</v>
      </c>
    </row>
    <row r="11" spans="1:10">
      <c r="A11" s="4" t="s">
        <v>412</v>
      </c>
      <c r="B11" s="4" t="s">
        <v>228</v>
      </c>
      <c r="C11" s="4">
        <v>2</v>
      </c>
      <c r="D11" s="13">
        <v>3600000</v>
      </c>
      <c r="F11" s="4" t="s">
        <v>656</v>
      </c>
      <c r="G11" s="4" t="s">
        <v>1079</v>
      </c>
      <c r="H11" s="4">
        <v>90</v>
      </c>
    </row>
    <row r="12" spans="1:10">
      <c r="A12" s="4" t="s">
        <v>413</v>
      </c>
      <c r="B12" s="4" t="s">
        <v>405</v>
      </c>
      <c r="C12" s="4">
        <v>2</v>
      </c>
      <c r="D12" s="13">
        <v>3600000</v>
      </c>
      <c r="F12" s="4" t="s">
        <v>1507</v>
      </c>
      <c r="G12" s="4" t="s">
        <v>1091</v>
      </c>
      <c r="H12" s="4">
        <v>77</v>
      </c>
      <c r="I12" s="45" t="s">
        <v>1535</v>
      </c>
      <c r="J12" s="45"/>
    </row>
    <row r="13" spans="1:10">
      <c r="A13" s="36" t="s">
        <v>414</v>
      </c>
      <c r="B13" s="37"/>
      <c r="C13" s="38"/>
      <c r="D13" s="13">
        <f>AVERAGEIFS(D3:D12,B3:B12,"법학과",C3:C12,"&gt;=3")</f>
        <v>4100000</v>
      </c>
      <c r="F13" s="4" t="s">
        <v>1508</v>
      </c>
      <c r="G13" s="4" t="s">
        <v>1079</v>
      </c>
      <c r="H13" s="4">
        <v>81</v>
      </c>
      <c r="I13" s="43" t="str">
        <f>DCOUNT(F2:H13,3,J9:J10)&amp;"명"</f>
        <v>4명</v>
      </c>
      <c r="J13" s="43"/>
    </row>
    <row r="15" spans="1:10">
      <c r="A15" s="2" t="s">
        <v>1536</v>
      </c>
      <c r="B15" s="8" t="s">
        <v>1537</v>
      </c>
      <c r="C15" s="8"/>
      <c r="D15" s="8"/>
      <c r="F15" s="2" t="s">
        <v>24</v>
      </c>
      <c r="G15" s="8" t="s">
        <v>416</v>
      </c>
      <c r="H15" s="8"/>
      <c r="I15" s="8"/>
      <c r="J15" s="8"/>
    </row>
    <row r="16" spans="1:10">
      <c r="A16" s="4" t="s">
        <v>1538</v>
      </c>
      <c r="B16" s="4" t="s">
        <v>1539</v>
      </c>
      <c r="C16" s="4" t="s">
        <v>1540</v>
      </c>
      <c r="D16" s="11" t="s">
        <v>4</v>
      </c>
      <c r="F16" s="4" t="s">
        <v>1430</v>
      </c>
      <c r="G16" s="4" t="s">
        <v>125</v>
      </c>
      <c r="H16" s="4" t="s">
        <v>418</v>
      </c>
      <c r="I16" s="4" t="s">
        <v>419</v>
      </c>
      <c r="J16" s="4" t="s">
        <v>139</v>
      </c>
    </row>
    <row r="17" spans="1:10">
      <c r="A17" s="4" t="s">
        <v>1541</v>
      </c>
      <c r="B17" s="4" t="s">
        <v>429</v>
      </c>
      <c r="C17" s="4" t="s">
        <v>1542</v>
      </c>
      <c r="D17" s="4" t="str">
        <f>CHOOSE(RIGHT(A17,1),"총무부","관리부","영업부","생산부")</f>
        <v>영업부</v>
      </c>
      <c r="F17" s="4" t="s">
        <v>420</v>
      </c>
      <c r="G17" s="4" t="s">
        <v>358</v>
      </c>
      <c r="H17" s="4">
        <v>28.45</v>
      </c>
      <c r="I17" s="4">
        <v>37.229999999999997</v>
      </c>
      <c r="J17" s="4">
        <f t="shared" ref="J17:J24" si="0">SUM(H17:I17)</f>
        <v>65.679999999999993</v>
      </c>
    </row>
    <row r="18" spans="1:10">
      <c r="A18" s="4" t="s">
        <v>1543</v>
      </c>
      <c r="B18" s="4" t="s">
        <v>1544</v>
      </c>
      <c r="C18" s="4" t="s">
        <v>1545</v>
      </c>
      <c r="D18" s="4" t="str">
        <f t="shared" ref="D18:D24" si="1">CHOOSE(RIGHT(A18,1),"총무부","관리부","영업부","생산부")</f>
        <v>생산부</v>
      </c>
      <c r="F18" s="4" t="s">
        <v>421</v>
      </c>
      <c r="G18" s="4" t="s">
        <v>358</v>
      </c>
      <c r="H18" s="4">
        <v>38.79</v>
      </c>
      <c r="I18" s="4">
        <v>40.450000000000003</v>
      </c>
      <c r="J18" s="4">
        <f t="shared" si="0"/>
        <v>79.240000000000009</v>
      </c>
    </row>
    <row r="19" spans="1:10">
      <c r="A19" s="4" t="s">
        <v>1546</v>
      </c>
      <c r="B19" s="4" t="s">
        <v>430</v>
      </c>
      <c r="C19" s="4" t="s">
        <v>1547</v>
      </c>
      <c r="D19" s="4" t="str">
        <f t="shared" si="1"/>
        <v>총무부</v>
      </c>
      <c r="F19" s="4" t="s">
        <v>422</v>
      </c>
      <c r="G19" s="4" t="s">
        <v>362</v>
      </c>
      <c r="H19" s="4">
        <v>42.45</v>
      </c>
      <c r="I19" s="4">
        <v>28.23</v>
      </c>
      <c r="J19" s="4">
        <f t="shared" si="0"/>
        <v>70.680000000000007</v>
      </c>
    </row>
    <row r="20" spans="1:10">
      <c r="A20" s="4" t="s">
        <v>1548</v>
      </c>
      <c r="B20" s="4" t="s">
        <v>431</v>
      </c>
      <c r="C20" s="4" t="s">
        <v>1547</v>
      </c>
      <c r="D20" s="4" t="str">
        <f t="shared" si="1"/>
        <v>생산부</v>
      </c>
      <c r="F20" s="4" t="s">
        <v>423</v>
      </c>
      <c r="G20" s="4" t="s">
        <v>358</v>
      </c>
      <c r="H20" s="4">
        <v>38.450000000000003</v>
      </c>
      <c r="I20" s="4">
        <v>48.53</v>
      </c>
      <c r="J20" s="4">
        <f t="shared" si="0"/>
        <v>86.98</v>
      </c>
    </row>
    <row r="21" spans="1:10">
      <c r="A21" s="4" t="s">
        <v>1549</v>
      </c>
      <c r="B21" s="4" t="s">
        <v>432</v>
      </c>
      <c r="C21" s="4" t="s">
        <v>1545</v>
      </c>
      <c r="D21" s="4" t="str">
        <f t="shared" si="1"/>
        <v>관리부</v>
      </c>
      <c r="F21" s="4" t="s">
        <v>424</v>
      </c>
      <c r="G21" s="4" t="s">
        <v>358</v>
      </c>
      <c r="H21" s="4">
        <v>38.659999999999997</v>
      </c>
      <c r="I21" s="4">
        <v>39.36</v>
      </c>
      <c r="J21" s="4">
        <f t="shared" si="0"/>
        <v>78.02</v>
      </c>
    </row>
    <row r="22" spans="1:10">
      <c r="A22" s="4" t="s">
        <v>1550</v>
      </c>
      <c r="B22" s="4" t="s">
        <v>1551</v>
      </c>
      <c r="C22" s="4" t="s">
        <v>1552</v>
      </c>
      <c r="D22" s="4" t="str">
        <f t="shared" si="1"/>
        <v>관리부</v>
      </c>
      <c r="F22" s="4" t="s">
        <v>425</v>
      </c>
      <c r="G22" s="4" t="s">
        <v>362</v>
      </c>
      <c r="H22" s="4">
        <v>40.39</v>
      </c>
      <c r="I22" s="4">
        <v>27.45</v>
      </c>
      <c r="J22" s="4">
        <f t="shared" si="0"/>
        <v>67.84</v>
      </c>
    </row>
    <row r="23" spans="1:10">
      <c r="A23" s="4" t="s">
        <v>1553</v>
      </c>
      <c r="B23" s="4" t="s">
        <v>1554</v>
      </c>
      <c r="C23" s="4" t="s">
        <v>1547</v>
      </c>
      <c r="D23" s="4" t="str">
        <f t="shared" si="1"/>
        <v>영업부</v>
      </c>
      <c r="F23" s="4" t="s">
        <v>426</v>
      </c>
      <c r="G23" s="4" t="s">
        <v>362</v>
      </c>
      <c r="H23" s="4">
        <v>25.62</v>
      </c>
      <c r="I23" s="4">
        <v>32.46</v>
      </c>
      <c r="J23" s="4">
        <f t="shared" si="0"/>
        <v>58.08</v>
      </c>
    </row>
    <row r="24" spans="1:10">
      <c r="A24" s="4" t="s">
        <v>1555</v>
      </c>
      <c r="B24" s="4" t="s">
        <v>1556</v>
      </c>
      <c r="C24" s="4" t="s">
        <v>1552</v>
      </c>
      <c r="D24" s="4" t="str">
        <f t="shared" si="1"/>
        <v>총무부</v>
      </c>
      <c r="F24" s="4" t="s">
        <v>427</v>
      </c>
      <c r="G24" s="4" t="s">
        <v>362</v>
      </c>
      <c r="H24" s="4">
        <v>34.950000000000003</v>
      </c>
      <c r="I24" s="4">
        <v>38.33</v>
      </c>
      <c r="J24" s="4">
        <f t="shared" si="0"/>
        <v>73.28</v>
      </c>
    </row>
    <row r="26" spans="1:10">
      <c r="A26" s="2" t="s">
        <v>57</v>
      </c>
      <c r="B26" s="8" t="s">
        <v>1557</v>
      </c>
      <c r="C26" s="8"/>
      <c r="D26" s="8"/>
      <c r="I26" s="42" t="s">
        <v>428</v>
      </c>
      <c r="J26" s="42"/>
    </row>
    <row r="27" spans="1:10">
      <c r="A27" s="4" t="s">
        <v>1558</v>
      </c>
      <c r="B27" s="4" t="s">
        <v>1559</v>
      </c>
      <c r="C27" s="4" t="s">
        <v>1560</v>
      </c>
      <c r="D27" s="11" t="s">
        <v>1561</v>
      </c>
      <c r="F27" s="44" t="s">
        <v>1562</v>
      </c>
      <c r="G27" s="44"/>
      <c r="I27" s="43">
        <f>TRUNC(AVERAGEIF(G17:G24,"여",J17:J24),1)</f>
        <v>67.400000000000006</v>
      </c>
      <c r="J27" s="43"/>
    </row>
    <row r="28" spans="1:10">
      <c r="A28" s="4" t="s">
        <v>429</v>
      </c>
      <c r="B28" s="4" t="s">
        <v>1563</v>
      </c>
      <c r="C28" s="7">
        <v>42184</v>
      </c>
      <c r="D28" s="4" t="str">
        <f>VLOOKUP(WEEKDAY(C28,2),$F$29:$G$35,2)</f>
        <v>월요일</v>
      </c>
      <c r="F28" s="4" t="s">
        <v>1564</v>
      </c>
      <c r="G28" s="4" t="s">
        <v>1565</v>
      </c>
    </row>
    <row r="29" spans="1:10">
      <c r="A29" s="4" t="s">
        <v>1566</v>
      </c>
      <c r="B29" s="4" t="s">
        <v>1567</v>
      </c>
      <c r="C29" s="7">
        <v>43420</v>
      </c>
      <c r="D29" s="4" t="str">
        <f t="shared" ref="D29:D35" si="2">VLOOKUP(WEEKDAY(C29,2),$F$29:$G$35,2)</f>
        <v>금요일</v>
      </c>
      <c r="F29" s="4">
        <v>1</v>
      </c>
      <c r="G29" s="4" t="s">
        <v>1568</v>
      </c>
    </row>
    <row r="30" spans="1:10">
      <c r="A30" s="4" t="s">
        <v>430</v>
      </c>
      <c r="B30" s="4" t="s">
        <v>1563</v>
      </c>
      <c r="C30" s="7">
        <v>41731</v>
      </c>
      <c r="D30" s="4" t="str">
        <f t="shared" si="2"/>
        <v>수요일</v>
      </c>
      <c r="F30" s="4">
        <v>2</v>
      </c>
      <c r="G30" s="4" t="s">
        <v>1509</v>
      </c>
    </row>
    <row r="31" spans="1:10">
      <c r="A31" s="4" t="s">
        <v>431</v>
      </c>
      <c r="B31" s="4" t="s">
        <v>1563</v>
      </c>
      <c r="C31" s="7">
        <v>43082</v>
      </c>
      <c r="D31" s="4" t="str">
        <f t="shared" si="2"/>
        <v>수요일</v>
      </c>
      <c r="F31" s="4">
        <v>3</v>
      </c>
      <c r="G31" s="4" t="s">
        <v>1510</v>
      </c>
    </row>
    <row r="32" spans="1:10">
      <c r="A32" s="4" t="s">
        <v>432</v>
      </c>
      <c r="B32" s="4" t="s">
        <v>1563</v>
      </c>
      <c r="C32" s="7">
        <v>44473</v>
      </c>
      <c r="D32" s="4" t="str">
        <f t="shared" si="2"/>
        <v>월요일</v>
      </c>
      <c r="F32" s="4">
        <v>4</v>
      </c>
      <c r="G32" s="4" t="s">
        <v>1511</v>
      </c>
    </row>
    <row r="33" spans="1:7">
      <c r="A33" s="4" t="s">
        <v>1569</v>
      </c>
      <c r="B33" s="4" t="s">
        <v>1567</v>
      </c>
      <c r="C33" s="7">
        <v>43683</v>
      </c>
      <c r="D33" s="4" t="str">
        <f t="shared" si="2"/>
        <v>화요일</v>
      </c>
      <c r="F33" s="4">
        <v>5</v>
      </c>
      <c r="G33" s="4" t="s">
        <v>1512</v>
      </c>
    </row>
    <row r="34" spans="1:7">
      <c r="A34" s="4" t="s">
        <v>1570</v>
      </c>
      <c r="B34" s="4" t="s">
        <v>1567</v>
      </c>
      <c r="C34" s="7">
        <v>42457</v>
      </c>
      <c r="D34" s="4" t="str">
        <f t="shared" si="2"/>
        <v>월요일</v>
      </c>
      <c r="F34" s="4">
        <v>6</v>
      </c>
      <c r="G34" s="4" t="s">
        <v>1513</v>
      </c>
    </row>
    <row r="35" spans="1:7">
      <c r="A35" s="4" t="s">
        <v>1571</v>
      </c>
      <c r="B35" s="4" t="s">
        <v>1572</v>
      </c>
      <c r="C35" s="7">
        <v>43882</v>
      </c>
      <c r="D35" s="4" t="str">
        <f t="shared" si="2"/>
        <v>금요일</v>
      </c>
      <c r="F35" s="4">
        <v>7</v>
      </c>
      <c r="G35" s="4" t="s">
        <v>1514</v>
      </c>
    </row>
  </sheetData>
  <mergeCells count="6">
    <mergeCell ref="I26:J26"/>
    <mergeCell ref="F27:G27"/>
    <mergeCell ref="I27:J27"/>
    <mergeCell ref="I12:J12"/>
    <mergeCell ref="A13:C13"/>
    <mergeCell ref="I13:J1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실전A형</vt:lpstr>
      <vt:lpstr>실전B형</vt:lpstr>
      <vt:lpstr>실전C형</vt:lpstr>
      <vt:lpstr>실전D형</vt:lpstr>
      <vt:lpstr>실전E형</vt:lpstr>
      <vt:lpstr>실전F형</vt:lpstr>
      <vt:lpstr>실전G형</vt:lpstr>
      <vt:lpstr>실전H형</vt:lpstr>
      <vt:lpstr>실전I형</vt:lpstr>
      <vt:lpstr>실전J형</vt:lpstr>
      <vt:lpstr>22년상시01</vt:lpstr>
      <vt:lpstr>22년상시02</vt:lpstr>
      <vt:lpstr>22년상시03</vt:lpstr>
      <vt:lpstr>22년상시04</vt:lpstr>
      <vt:lpstr>21년상시01</vt:lpstr>
      <vt:lpstr>21년상시02</vt:lpstr>
      <vt:lpstr>21년상시03</vt:lpstr>
      <vt:lpstr>21년상시04</vt:lpstr>
      <vt:lpstr>21년공개A형</vt:lpstr>
      <vt:lpstr>21년공개B형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2220604강태훈</cp:lastModifiedBy>
  <dcterms:created xsi:type="dcterms:W3CDTF">2020-06-09T06:09:27Z</dcterms:created>
  <dcterms:modified xsi:type="dcterms:W3CDTF">2024-07-11T13:04:30Z</dcterms:modified>
</cp:coreProperties>
</file>